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K:\Ekonomi\Delårsrapporter\Fil för hemsidan\"/>
    </mc:Choice>
  </mc:AlternateContent>
  <xr:revisionPtr revIDLastSave="0" documentId="13_ncr:1_{21E4D58D-53BD-4176-90E5-4D9FAE395FCA}" xr6:coauthVersionLast="36" xr6:coauthVersionMax="47" xr10:uidLastSave="{00000000-0000-0000-0000-000000000000}"/>
  <bookViews>
    <workbookView xWindow="19090" yWindow="-110" windowWidth="19420" windowHeight="10420" firstSheet="12" activeTab="17" xr2:uid="{00000000-000D-0000-FFFF-FFFF00000000}"/>
  </bookViews>
  <sheets>
    <sheet name="Resultat" sheetId="1" r:id="rId1"/>
    <sheet name="Income Statement" sheetId="10" r:id="rId2"/>
    <sheet name="Resultat-3M" sheetId="2" r:id="rId3"/>
    <sheet name="Income Statement-3M" sheetId="11" r:id="rId4"/>
    <sheet name="Resultat-YTD" sheetId="3" r:id="rId5"/>
    <sheet name="Income Statement-YTD" sheetId="12" r:id="rId6"/>
    <sheet name="Balansräkning" sheetId="4" r:id="rId7"/>
    <sheet name="Balance Sheet" sheetId="13" r:id="rId8"/>
    <sheet name="Balansräkning-3M" sheetId="14" r:id="rId9"/>
    <sheet name="Balance Sheet-3M" sheetId="5" r:id="rId10"/>
    <sheet name="Eget kapital" sheetId="6" r:id="rId11"/>
    <sheet name="Change Equity" sheetId="15" r:id="rId12"/>
    <sheet name="Eget kapital-3M" sheetId="7" r:id="rId13"/>
    <sheet name="Change Equity-3M" sheetId="16" r:id="rId14"/>
    <sheet name="Kassaflöde" sheetId="8" r:id="rId15"/>
    <sheet name="Cash Flow" sheetId="17" r:id="rId16"/>
    <sheet name="Kassaflöde-3M" sheetId="9" r:id="rId17"/>
    <sheet name="Cash Flow-3M" sheetId="18" r:id="rId1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2" l="1"/>
  <c r="B16" i="12"/>
  <c r="B14" i="12"/>
  <c r="B13" i="12"/>
  <c r="B12" i="12"/>
  <c r="B11" i="12"/>
  <c r="B9" i="12"/>
  <c r="B8" i="12"/>
  <c r="B7" i="12"/>
  <c r="B5" i="12"/>
  <c r="B4" i="12"/>
  <c r="B3" i="12"/>
  <c r="B3" i="9" l="1"/>
  <c r="B27" i="14"/>
  <c r="B11" i="14"/>
  <c r="B17" i="14" s="1"/>
  <c r="B17" i="18" l="1"/>
  <c r="B16" i="18"/>
  <c r="B15" i="18"/>
  <c r="B13" i="18"/>
  <c r="B11" i="18"/>
  <c r="B9" i="18"/>
  <c r="B7" i="18"/>
  <c r="B4" i="18"/>
  <c r="B3" i="18"/>
  <c r="B15" i="9"/>
  <c r="B5" i="9"/>
  <c r="B5" i="18" s="1"/>
  <c r="B9" i="16"/>
  <c r="B8" i="16"/>
  <c r="B7" i="16"/>
  <c r="B6" i="16"/>
  <c r="B5" i="16"/>
  <c r="B4" i="16"/>
  <c r="B10" i="7"/>
  <c r="B10" i="16" s="1"/>
  <c r="B26" i="5"/>
  <c r="B25" i="5"/>
  <c r="B24" i="5"/>
  <c r="B20" i="5"/>
  <c r="B16" i="5"/>
  <c r="B15" i="5"/>
  <c r="B14" i="5"/>
  <c r="B10" i="5"/>
  <c r="B9" i="5"/>
  <c r="B8" i="5"/>
  <c r="B7" i="5"/>
  <c r="B6" i="5"/>
  <c r="B21" i="14"/>
  <c r="B27" i="5" s="1"/>
  <c r="C17" i="14"/>
  <c r="B17" i="5"/>
  <c r="B31" i="3"/>
  <c r="B30" i="3"/>
  <c r="B21" i="5" l="1"/>
  <c r="B11" i="5"/>
  <c r="B31" i="12"/>
  <c r="B30" i="12"/>
  <c r="B27" i="3" l="1"/>
  <c r="B27" i="12" s="1"/>
  <c r="B26" i="3"/>
  <c r="B26" i="12" s="1"/>
  <c r="B25" i="3"/>
  <c r="B25" i="12" s="1"/>
  <c r="B24" i="3"/>
  <c r="B24" i="12" s="1"/>
  <c r="B22" i="3"/>
  <c r="B22" i="12" s="1"/>
  <c r="B21" i="3"/>
  <c r="B21" i="12" s="1"/>
  <c r="B17" i="3"/>
  <c r="B27" i="11"/>
  <c r="B26" i="11"/>
  <c r="B25" i="11"/>
  <c r="B24" i="11"/>
  <c r="B22" i="11"/>
  <c r="B21" i="11"/>
  <c r="B17" i="11"/>
  <c r="B16" i="11"/>
  <c r="B14" i="11"/>
  <c r="B13" i="11"/>
  <c r="B12" i="11"/>
  <c r="B11" i="11"/>
  <c r="B9" i="11"/>
  <c r="B8" i="11"/>
  <c r="B7" i="11"/>
  <c r="B5" i="11"/>
  <c r="B4" i="11"/>
  <c r="B3" i="11"/>
  <c r="E13" i="9" l="1"/>
  <c r="E13" i="18" s="1"/>
  <c r="B3" i="8"/>
  <c r="C5" i="18"/>
  <c r="B7" i="1"/>
  <c r="C7" i="14"/>
  <c r="C11" i="14" s="1"/>
  <c r="B7" i="4"/>
  <c r="B11" i="4"/>
  <c r="B8" i="1"/>
  <c r="B15" i="8"/>
  <c r="C10" i="7"/>
  <c r="C10" i="16" s="1"/>
  <c r="B27" i="10"/>
  <c r="B26" i="10"/>
  <c r="B25" i="10"/>
  <c r="B24" i="10"/>
  <c r="B22" i="10"/>
  <c r="B21" i="10"/>
  <c r="B17" i="10"/>
  <c r="B16" i="10"/>
  <c r="B14" i="10"/>
  <c r="B13" i="10"/>
  <c r="B12" i="10"/>
  <c r="B11" i="10"/>
  <c r="B9" i="10"/>
  <c r="B8" i="10"/>
  <c r="B7" i="10"/>
  <c r="B5" i="10"/>
  <c r="B4" i="10"/>
  <c r="B3" i="10"/>
  <c r="B5" i="8"/>
  <c r="B5" i="17" s="1"/>
  <c r="C21" i="14"/>
  <c r="C27" i="14" s="1"/>
  <c r="C27" i="5" s="1"/>
  <c r="C26" i="5"/>
  <c r="C24" i="5"/>
  <c r="C20" i="5"/>
  <c r="C16" i="5"/>
  <c r="C15" i="5"/>
  <c r="C14" i="5"/>
  <c r="C10" i="5"/>
  <c r="C9" i="5"/>
  <c r="C8" i="5"/>
  <c r="C6" i="5"/>
  <c r="B21" i="4"/>
  <c r="B27" i="4"/>
  <c r="B27" i="13" s="1"/>
  <c r="C17" i="18"/>
  <c r="C16" i="18"/>
  <c r="C13" i="18"/>
  <c r="C11" i="18"/>
  <c r="C9" i="18"/>
  <c r="C7" i="18"/>
  <c r="C4" i="18"/>
  <c r="C3" i="18"/>
  <c r="C15" i="9"/>
  <c r="C15" i="18" s="1"/>
  <c r="B17" i="17"/>
  <c r="B16" i="17"/>
  <c r="B15" i="17"/>
  <c r="B13" i="17"/>
  <c r="B11" i="17"/>
  <c r="B9" i="17"/>
  <c r="B7" i="17"/>
  <c r="B4" i="17"/>
  <c r="B3" i="17"/>
  <c r="C9" i="16"/>
  <c r="C8" i="16"/>
  <c r="C7" i="16"/>
  <c r="C6" i="16"/>
  <c r="C5" i="16"/>
  <c r="C4" i="16"/>
  <c r="B9" i="15"/>
  <c r="B8" i="15"/>
  <c r="B7" i="15"/>
  <c r="B6" i="15"/>
  <c r="B5" i="15"/>
  <c r="B4" i="15"/>
  <c r="B4" i="6"/>
  <c r="B10" i="6" s="1"/>
  <c r="B10" i="15" s="1"/>
  <c r="B26" i="13"/>
  <c r="B25" i="13"/>
  <c r="B24" i="13"/>
  <c r="B21" i="13"/>
  <c r="B20" i="13"/>
  <c r="B16" i="13"/>
  <c r="B15" i="13"/>
  <c r="B14" i="13"/>
  <c r="B10" i="13"/>
  <c r="B9" i="13"/>
  <c r="B8" i="13"/>
  <c r="B7" i="13"/>
  <c r="B6" i="13"/>
  <c r="C31" i="12"/>
  <c r="C30" i="12"/>
  <c r="C27" i="12"/>
  <c r="C26" i="12"/>
  <c r="C25" i="12"/>
  <c r="C24" i="12"/>
  <c r="C22" i="12"/>
  <c r="C21" i="12"/>
  <c r="C17" i="12"/>
  <c r="C16" i="12"/>
  <c r="C14" i="12"/>
  <c r="C13" i="12"/>
  <c r="C12" i="12"/>
  <c r="C11" i="12"/>
  <c r="C9" i="12"/>
  <c r="C8" i="12"/>
  <c r="C7" i="12"/>
  <c r="C5" i="12"/>
  <c r="C4" i="12"/>
  <c r="C3" i="12"/>
  <c r="C31" i="11"/>
  <c r="C30" i="11"/>
  <c r="C27" i="11"/>
  <c r="C26" i="11"/>
  <c r="C25" i="11"/>
  <c r="C24" i="11"/>
  <c r="C22" i="11"/>
  <c r="C21" i="11"/>
  <c r="C17" i="11"/>
  <c r="C16" i="11"/>
  <c r="C14" i="11"/>
  <c r="C13" i="11"/>
  <c r="C12" i="11"/>
  <c r="C11" i="11"/>
  <c r="C9" i="11"/>
  <c r="C8" i="11"/>
  <c r="C7" i="11"/>
  <c r="C5" i="11"/>
  <c r="C4" i="11"/>
  <c r="C3" i="11"/>
  <c r="B31" i="10"/>
  <c r="B30" i="10"/>
  <c r="C6" i="4"/>
  <c r="D9" i="7"/>
  <c r="D30" i="12"/>
  <c r="D31" i="12"/>
  <c r="D27" i="12"/>
  <c r="D26" i="12"/>
  <c r="D25" i="12"/>
  <c r="D24" i="12"/>
  <c r="D22" i="12"/>
  <c r="D21" i="12"/>
  <c r="D17" i="12"/>
  <c r="D16" i="12"/>
  <c r="D14" i="12"/>
  <c r="D13" i="12"/>
  <c r="D12" i="12"/>
  <c r="D11" i="12"/>
  <c r="D9" i="12"/>
  <c r="D8" i="12"/>
  <c r="D7" i="12"/>
  <c r="D5" i="12"/>
  <c r="D4" i="12"/>
  <c r="D3" i="12"/>
  <c r="D31" i="11"/>
  <c r="D30" i="11"/>
  <c r="D27" i="11"/>
  <c r="D26" i="11"/>
  <c r="D25" i="11"/>
  <c r="D24" i="11"/>
  <c r="D22" i="11"/>
  <c r="D21" i="11"/>
  <c r="D17" i="11"/>
  <c r="D16" i="11"/>
  <c r="D14" i="11"/>
  <c r="D13" i="11"/>
  <c r="D12" i="11"/>
  <c r="D11" i="11"/>
  <c r="D9" i="11"/>
  <c r="D8" i="11"/>
  <c r="D5" i="11"/>
  <c r="D4" i="11"/>
  <c r="D3" i="11"/>
  <c r="D17" i="18"/>
  <c r="D16" i="18"/>
  <c r="D15" i="18"/>
  <c r="D13" i="18"/>
  <c r="D11" i="18"/>
  <c r="D9" i="18"/>
  <c r="D7" i="18"/>
  <c r="D5" i="18"/>
  <c r="D4" i="18"/>
  <c r="D3" i="18"/>
  <c r="D10" i="16"/>
  <c r="D9" i="16"/>
  <c r="D8" i="16"/>
  <c r="D7" i="16"/>
  <c r="D6" i="16"/>
  <c r="D5" i="16"/>
  <c r="D4" i="16"/>
  <c r="D26" i="5"/>
  <c r="D21" i="5"/>
  <c r="D15" i="5"/>
  <c r="D16" i="5"/>
  <c r="D8" i="5"/>
  <c r="D7" i="5"/>
  <c r="D27" i="5"/>
  <c r="D24" i="5"/>
  <c r="D20" i="5"/>
  <c r="D17" i="5"/>
  <c r="D14" i="5"/>
  <c r="D11" i="5"/>
  <c r="D10" i="5"/>
  <c r="D9" i="5"/>
  <c r="D6" i="14"/>
  <c r="D6" i="5" s="1"/>
  <c r="D7" i="3"/>
  <c r="D7" i="2"/>
  <c r="D7" i="11" s="1"/>
  <c r="E27" i="14"/>
  <c r="E27" i="5" s="1"/>
  <c r="E5" i="3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V30" i="11"/>
  <c r="W30" i="11"/>
  <c r="X30" i="11"/>
  <c r="Y30" i="11"/>
  <c r="Z30" i="11"/>
  <c r="E30" i="11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Z31" i="12"/>
  <c r="V31" i="12"/>
  <c r="U31" i="12"/>
  <c r="T31" i="12"/>
  <c r="S31" i="12"/>
  <c r="N31" i="12"/>
  <c r="M31" i="12"/>
  <c r="L31" i="12"/>
  <c r="F31" i="12"/>
  <c r="E31" i="12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E27" i="2"/>
  <c r="E17" i="18"/>
  <c r="E7" i="3"/>
  <c r="E7" i="2"/>
  <c r="E7" i="11" s="1"/>
  <c r="E6" i="14"/>
  <c r="E6" i="5" s="1"/>
  <c r="E26" i="5"/>
  <c r="E25" i="5"/>
  <c r="E24" i="5"/>
  <c r="E21" i="5"/>
  <c r="E20" i="5"/>
  <c r="E16" i="5"/>
  <c r="E15" i="5"/>
  <c r="E14" i="5"/>
  <c r="E10" i="5"/>
  <c r="E9" i="5"/>
  <c r="E8" i="5"/>
  <c r="E7" i="5"/>
  <c r="E26" i="12"/>
  <c r="E25" i="12"/>
  <c r="E24" i="12"/>
  <c r="E22" i="12"/>
  <c r="E21" i="12"/>
  <c r="E16" i="12"/>
  <c r="E13" i="12"/>
  <c r="E11" i="12"/>
  <c r="E8" i="12"/>
  <c r="E7" i="12"/>
  <c r="E5" i="12"/>
  <c r="E4" i="12"/>
  <c r="E3" i="12"/>
  <c r="E31" i="11"/>
  <c r="E27" i="11"/>
  <c r="E26" i="11"/>
  <c r="E25" i="11"/>
  <c r="E24" i="11"/>
  <c r="E22" i="11"/>
  <c r="E21" i="11"/>
  <c r="E17" i="11"/>
  <c r="E16" i="11"/>
  <c r="E14" i="11"/>
  <c r="E13" i="11"/>
  <c r="E12" i="11"/>
  <c r="E11" i="11"/>
  <c r="E9" i="11"/>
  <c r="E8" i="11"/>
  <c r="E5" i="11"/>
  <c r="E4" i="11"/>
  <c r="E3" i="11"/>
  <c r="E16" i="18"/>
  <c r="E15" i="18"/>
  <c r="E11" i="18"/>
  <c r="E9" i="18"/>
  <c r="E7" i="18"/>
  <c r="E5" i="9"/>
  <c r="E5" i="18" s="1"/>
  <c r="E4" i="18"/>
  <c r="E3" i="18"/>
  <c r="E10" i="16"/>
  <c r="E9" i="16"/>
  <c r="E8" i="16"/>
  <c r="E7" i="16"/>
  <c r="E6" i="16"/>
  <c r="E5" i="16"/>
  <c r="E4" i="16"/>
  <c r="F17" i="18"/>
  <c r="F16" i="18"/>
  <c r="F15" i="18"/>
  <c r="F13" i="9"/>
  <c r="F13" i="18" s="1"/>
  <c r="F11" i="18"/>
  <c r="F9" i="18"/>
  <c r="F7" i="18"/>
  <c r="F5" i="9"/>
  <c r="F5" i="18" s="1"/>
  <c r="F4" i="18"/>
  <c r="F3" i="18"/>
  <c r="F10" i="16"/>
  <c r="F9" i="16"/>
  <c r="F8" i="16"/>
  <c r="F7" i="16"/>
  <c r="F6" i="16"/>
  <c r="F5" i="16"/>
  <c r="F4" i="16"/>
  <c r="F6" i="14"/>
  <c r="F7" i="2"/>
  <c r="F6" i="5"/>
  <c r="F27" i="12"/>
  <c r="F26" i="12"/>
  <c r="F25" i="12"/>
  <c r="F24" i="12"/>
  <c r="F22" i="12"/>
  <c r="F21" i="12"/>
  <c r="F17" i="12"/>
  <c r="F16" i="12"/>
  <c r="F14" i="12"/>
  <c r="F13" i="12"/>
  <c r="F12" i="12"/>
  <c r="F11" i="12"/>
  <c r="F9" i="12"/>
  <c r="F8" i="12"/>
  <c r="F7" i="12"/>
  <c r="F5" i="12"/>
  <c r="F4" i="12"/>
  <c r="F3" i="12"/>
  <c r="F31" i="11"/>
  <c r="F27" i="11"/>
  <c r="F26" i="11"/>
  <c r="F25" i="11"/>
  <c r="F24" i="11"/>
  <c r="F22" i="11"/>
  <c r="F21" i="11"/>
  <c r="F16" i="11"/>
  <c r="F17" i="11"/>
  <c r="F14" i="11"/>
  <c r="F13" i="11"/>
  <c r="F12" i="11"/>
  <c r="F11" i="11"/>
  <c r="F9" i="11"/>
  <c r="F8" i="11"/>
  <c r="F7" i="11"/>
  <c r="F5" i="11"/>
  <c r="F4" i="11"/>
  <c r="F3" i="11"/>
  <c r="F27" i="5"/>
  <c r="F26" i="5"/>
  <c r="F25" i="5"/>
  <c r="F24" i="5"/>
  <c r="F21" i="5"/>
  <c r="F20" i="5"/>
  <c r="F17" i="5"/>
  <c r="F16" i="5"/>
  <c r="F15" i="5"/>
  <c r="F14" i="5"/>
  <c r="F11" i="5"/>
  <c r="F10" i="5"/>
  <c r="F9" i="5"/>
  <c r="F8" i="5"/>
  <c r="F7" i="5"/>
  <c r="G17" i="18"/>
  <c r="G16" i="18"/>
  <c r="H13" i="9"/>
  <c r="H17" i="9"/>
  <c r="G15" i="9" s="1"/>
  <c r="G15" i="18" s="1"/>
  <c r="G13" i="9"/>
  <c r="G13" i="18"/>
  <c r="G11" i="18"/>
  <c r="G9" i="18"/>
  <c r="G7" i="18"/>
  <c r="G5" i="9"/>
  <c r="G5" i="18" s="1"/>
  <c r="G4" i="18"/>
  <c r="G3" i="18"/>
  <c r="C17" i="17"/>
  <c r="C16" i="17"/>
  <c r="C15" i="17"/>
  <c r="C11" i="17"/>
  <c r="C7" i="17"/>
  <c r="C5" i="17"/>
  <c r="C4" i="17"/>
  <c r="C3" i="17"/>
  <c r="C13" i="17"/>
  <c r="G9" i="16"/>
  <c r="G8" i="16"/>
  <c r="G7" i="16"/>
  <c r="G5" i="16"/>
  <c r="G10" i="16"/>
  <c r="G6" i="16"/>
  <c r="G4" i="16"/>
  <c r="C10" i="15"/>
  <c r="C9" i="15"/>
  <c r="C8" i="15"/>
  <c r="C7" i="15"/>
  <c r="C6" i="15"/>
  <c r="C5" i="15"/>
  <c r="C4" i="15"/>
  <c r="C9" i="17"/>
  <c r="C21" i="4"/>
  <c r="C26" i="13"/>
  <c r="C25" i="13"/>
  <c r="C24" i="13"/>
  <c r="C20" i="13"/>
  <c r="C17" i="13"/>
  <c r="C16" i="13"/>
  <c r="C15" i="13"/>
  <c r="C14" i="13"/>
  <c r="C11" i="13"/>
  <c r="C10" i="13"/>
  <c r="C9" i="13"/>
  <c r="C8" i="13"/>
  <c r="C7" i="13"/>
  <c r="C6" i="13"/>
  <c r="G7" i="2"/>
  <c r="C27" i="10"/>
  <c r="C17" i="10"/>
  <c r="C14" i="10"/>
  <c r="C12" i="10"/>
  <c r="C9" i="10"/>
  <c r="C5" i="10"/>
  <c r="C31" i="10"/>
  <c r="C30" i="10"/>
  <c r="C26" i="10"/>
  <c r="C25" i="10"/>
  <c r="C24" i="10"/>
  <c r="C23" i="10"/>
  <c r="C22" i="10"/>
  <c r="C21" i="10"/>
  <c r="C16" i="10"/>
  <c r="C13" i="10"/>
  <c r="C11" i="10"/>
  <c r="C8" i="10"/>
  <c r="C7" i="10"/>
  <c r="C4" i="10"/>
  <c r="C3" i="10"/>
  <c r="H13" i="18"/>
  <c r="H17" i="18" s="1"/>
  <c r="H5" i="18"/>
  <c r="H6" i="16"/>
  <c r="H10" i="16" s="1"/>
  <c r="H4" i="16"/>
  <c r="H21" i="5"/>
  <c r="H27" i="5" s="1"/>
  <c r="H11" i="5"/>
  <c r="H17" i="5" s="1"/>
  <c r="H6" i="5"/>
  <c r="H6" i="14"/>
  <c r="H11" i="14" s="1"/>
  <c r="H17" i="14" s="1"/>
  <c r="H7" i="12"/>
  <c r="H5" i="12"/>
  <c r="H9" i="12" s="1"/>
  <c r="H12" i="12" s="1"/>
  <c r="H14" i="12" s="1"/>
  <c r="H17" i="12" s="1"/>
  <c r="H27" i="12" s="1"/>
  <c r="H7" i="3"/>
  <c r="H7" i="11"/>
  <c r="H5" i="11"/>
  <c r="H9" i="11" s="1"/>
  <c r="H12" i="11" s="1"/>
  <c r="H14" i="11" s="1"/>
  <c r="H17" i="11" s="1"/>
  <c r="H27" i="11" s="1"/>
  <c r="H7" i="2"/>
  <c r="H5" i="9"/>
  <c r="H6" i="7"/>
  <c r="H4" i="7"/>
  <c r="H21" i="14"/>
  <c r="H27" i="14" s="1"/>
  <c r="H5" i="3"/>
  <c r="H9" i="3" s="1"/>
  <c r="H12" i="3" s="1"/>
  <c r="H14" i="3" s="1"/>
  <c r="H17" i="3" s="1"/>
  <c r="H27" i="3" s="1"/>
  <c r="H5" i="2"/>
  <c r="H9" i="2" s="1"/>
  <c r="H12" i="2" s="1"/>
  <c r="H14" i="2" s="1"/>
  <c r="H17" i="2" s="1"/>
  <c r="H27" i="2" s="1"/>
  <c r="I5" i="18"/>
  <c r="I10" i="16"/>
  <c r="I21" i="5"/>
  <c r="I27" i="5" s="1"/>
  <c r="I11" i="5"/>
  <c r="I17" i="5" s="1"/>
  <c r="I6" i="14"/>
  <c r="I13" i="3"/>
  <c r="I8" i="3"/>
  <c r="I7" i="3"/>
  <c r="I24" i="11"/>
  <c r="I16" i="2"/>
  <c r="I13" i="2"/>
  <c r="I13" i="11"/>
  <c r="I16" i="11"/>
  <c r="I7" i="2"/>
  <c r="I13" i="9"/>
  <c r="I17" i="9" s="1"/>
  <c r="I5" i="9"/>
  <c r="I6" i="7"/>
  <c r="I4" i="7"/>
  <c r="I10" i="7"/>
  <c r="I21" i="14"/>
  <c r="I27" i="14" s="1"/>
  <c r="I11" i="14"/>
  <c r="I17" i="14" s="1"/>
  <c r="I5" i="12"/>
  <c r="I9" i="12" s="1"/>
  <c r="I12" i="12" s="1"/>
  <c r="I14" i="12" s="1"/>
  <c r="I17" i="12" s="1"/>
  <c r="I27" i="12" s="1"/>
  <c r="I5" i="3"/>
  <c r="I9" i="3" s="1"/>
  <c r="I12" i="3" s="1"/>
  <c r="I5" i="11"/>
  <c r="I9" i="11" s="1"/>
  <c r="I12" i="11" s="1"/>
  <c r="I14" i="11" s="1"/>
  <c r="I17" i="11" s="1"/>
  <c r="I27" i="11" s="1"/>
  <c r="I5" i="2"/>
  <c r="I9" i="2"/>
  <c r="I12" i="2" s="1"/>
  <c r="I14" i="2" s="1"/>
  <c r="I17" i="2" s="1"/>
  <c r="I27" i="2" s="1"/>
  <c r="S9" i="12"/>
  <c r="W9" i="12"/>
  <c r="W12" i="12" s="1"/>
  <c r="S9" i="3"/>
  <c r="W9" i="3"/>
  <c r="W12" i="3" s="1"/>
  <c r="J13" i="9"/>
  <c r="J9" i="7"/>
  <c r="J6" i="7"/>
  <c r="J4" i="7"/>
  <c r="J21" i="14"/>
  <c r="J27" i="14" s="1"/>
  <c r="J17" i="14"/>
  <c r="J7" i="14"/>
  <c r="J11" i="14" s="1"/>
  <c r="Q7" i="12"/>
  <c r="P7" i="12"/>
  <c r="O7" i="12"/>
  <c r="N7" i="12"/>
  <c r="N9" i="12"/>
  <c r="N12" i="12" s="1"/>
  <c r="M7" i="12"/>
  <c r="M9" i="12"/>
  <c r="M12" i="12" s="1"/>
  <c r="L7" i="12"/>
  <c r="L9" i="12" s="1"/>
  <c r="L12" i="12" s="1"/>
  <c r="K7" i="12"/>
  <c r="Q7" i="3"/>
  <c r="P7" i="3"/>
  <c r="O7" i="3"/>
  <c r="N7" i="3"/>
  <c r="N9" i="3" s="1"/>
  <c r="N12" i="3" s="1"/>
  <c r="M7" i="3"/>
  <c r="L7" i="3"/>
  <c r="K7" i="3"/>
  <c r="J24" i="3"/>
  <c r="P7" i="11"/>
  <c r="K7" i="11"/>
  <c r="K9" i="11" s="1"/>
  <c r="K12" i="11" s="1"/>
  <c r="K14" i="11" s="1"/>
  <c r="K17" i="11" s="1"/>
  <c r="K27" i="11" s="1"/>
  <c r="L7" i="11"/>
  <c r="L9" i="11"/>
  <c r="L12" i="11" s="1"/>
  <c r="M7" i="11"/>
  <c r="M9" i="11"/>
  <c r="N7" i="11"/>
  <c r="O7" i="11"/>
  <c r="Q7" i="11"/>
  <c r="Q7" i="2"/>
  <c r="P7" i="2"/>
  <c r="O7" i="2"/>
  <c r="M7" i="2"/>
  <c r="L7" i="2"/>
  <c r="K7" i="2"/>
  <c r="N7" i="2"/>
  <c r="E7" i="10"/>
  <c r="D7" i="10"/>
  <c r="D9" i="10" s="1"/>
  <c r="D12" i="10" s="1"/>
  <c r="D14" i="10" s="1"/>
  <c r="D17" i="10" s="1"/>
  <c r="D27" i="10" s="1"/>
  <c r="E7" i="1"/>
  <c r="D7" i="1"/>
  <c r="S12" i="12"/>
  <c r="S12" i="3"/>
  <c r="M12" i="11"/>
  <c r="J17" i="9"/>
  <c r="J5" i="9"/>
  <c r="J5" i="12"/>
  <c r="J9" i="12"/>
  <c r="J12" i="12" s="1"/>
  <c r="J14" i="12" s="1"/>
  <c r="J17" i="12" s="1"/>
  <c r="J27" i="12" s="1"/>
  <c r="J5" i="3"/>
  <c r="J9" i="3"/>
  <c r="J12" i="3" s="1"/>
  <c r="J14" i="3" s="1"/>
  <c r="J17" i="3" s="1"/>
  <c r="J27" i="3" s="1"/>
  <c r="J5" i="11"/>
  <c r="J9" i="11"/>
  <c r="J12" i="11" s="1"/>
  <c r="J14" i="11" s="1"/>
  <c r="J17" i="11" s="1"/>
  <c r="J27" i="11" s="1"/>
  <c r="J5" i="2"/>
  <c r="J9" i="2" s="1"/>
  <c r="J12" i="2" s="1"/>
  <c r="J14" i="2" s="1"/>
  <c r="J17" i="2" s="1"/>
  <c r="J27" i="2" s="1"/>
  <c r="K13" i="12"/>
  <c r="K3" i="12"/>
  <c r="K5" i="12" s="1"/>
  <c r="K9" i="12" s="1"/>
  <c r="K12" i="12" s="1"/>
  <c r="K14" i="12" s="1"/>
  <c r="K17" i="12" s="1"/>
  <c r="K27" i="12" s="1"/>
  <c r="K13" i="3"/>
  <c r="K3" i="3"/>
  <c r="K5" i="3" s="1"/>
  <c r="K5" i="11"/>
  <c r="D13" i="10"/>
  <c r="D3" i="10"/>
  <c r="D5" i="10"/>
  <c r="D3" i="1"/>
  <c r="D13" i="1"/>
  <c r="K13" i="18"/>
  <c r="K17" i="18"/>
  <c r="K5" i="18"/>
  <c r="K13" i="9"/>
  <c r="K17" i="9" s="1"/>
  <c r="K5" i="9"/>
  <c r="D5" i="17"/>
  <c r="D9" i="17" s="1"/>
  <c r="D13" i="17" s="1"/>
  <c r="D5" i="8"/>
  <c r="D9" i="8" s="1"/>
  <c r="D13" i="8"/>
  <c r="K10" i="16"/>
  <c r="K10" i="7"/>
  <c r="D10" i="15"/>
  <c r="D10" i="6"/>
  <c r="C4" i="6" s="1"/>
  <c r="D7" i="4"/>
  <c r="D21" i="4"/>
  <c r="D27" i="4" s="1"/>
  <c r="D11" i="4"/>
  <c r="D17" i="4" s="1"/>
  <c r="K5" i="2"/>
  <c r="K9" i="2" s="1"/>
  <c r="K12" i="2" s="1"/>
  <c r="K14" i="2" s="1"/>
  <c r="K17" i="2" s="1"/>
  <c r="K27" i="2" s="1"/>
  <c r="D5" i="1"/>
  <c r="L13" i="18"/>
  <c r="L17" i="18" s="1"/>
  <c r="L5" i="18"/>
  <c r="L13" i="9"/>
  <c r="L17" i="9" s="1"/>
  <c r="L5" i="9"/>
  <c r="L10" i="16"/>
  <c r="L10" i="7"/>
  <c r="L21" i="5"/>
  <c r="L27" i="5" s="1"/>
  <c r="L6" i="5"/>
  <c r="L11" i="5" s="1"/>
  <c r="L17" i="5" s="1"/>
  <c r="L6" i="14"/>
  <c r="L11" i="14" s="1"/>
  <c r="L17" i="14" s="1"/>
  <c r="L21" i="14"/>
  <c r="L27" i="14" s="1"/>
  <c r="L8" i="3"/>
  <c r="L5" i="3"/>
  <c r="L5" i="2"/>
  <c r="L9" i="2" s="1"/>
  <c r="L12" i="2" s="1"/>
  <c r="L14" i="2" s="1"/>
  <c r="L17" i="2" s="1"/>
  <c r="L27" i="2" s="1"/>
  <c r="M27" i="11"/>
  <c r="E11" i="17"/>
  <c r="E11" i="8"/>
  <c r="O9" i="9"/>
  <c r="O11" i="9"/>
  <c r="O3" i="9"/>
  <c r="O5" i="9"/>
  <c r="P11" i="9"/>
  <c r="P9" i="9"/>
  <c r="M6" i="14"/>
  <c r="M11" i="14" s="1"/>
  <c r="M17" i="14"/>
  <c r="M5" i="3"/>
  <c r="M16" i="2"/>
  <c r="M13" i="2"/>
  <c r="M8" i="2"/>
  <c r="M5" i="2"/>
  <c r="M9" i="2" s="1"/>
  <c r="M12" i="2" s="1"/>
  <c r="M14" i="2" s="1"/>
  <c r="M17" i="2" s="1"/>
  <c r="M27" i="2" s="1"/>
  <c r="M5" i="9"/>
  <c r="M13" i="9"/>
  <c r="M17" i="9" s="1"/>
  <c r="M10" i="7"/>
  <c r="M21" i="14"/>
  <c r="M27" i="14" s="1"/>
  <c r="W5" i="18"/>
  <c r="W9" i="18" s="1"/>
  <c r="W13" i="18" s="1"/>
  <c r="W17" i="18" s="1"/>
  <c r="V5" i="18"/>
  <c r="V9" i="18" s="1"/>
  <c r="V13" i="18" s="1"/>
  <c r="V17" i="18"/>
  <c r="U5" i="18"/>
  <c r="U9" i="18" s="1"/>
  <c r="U13" i="18"/>
  <c r="U17" i="18" s="1"/>
  <c r="T5" i="18"/>
  <c r="T9" i="18" s="1"/>
  <c r="T13" i="18" s="1"/>
  <c r="T17" i="18" s="1"/>
  <c r="S4" i="18"/>
  <c r="S5" i="18" s="1"/>
  <c r="S9" i="18" s="1"/>
  <c r="S13" i="18" s="1"/>
  <c r="S17" i="18" s="1"/>
  <c r="S7" i="18"/>
  <c r="N3" i="18"/>
  <c r="N4" i="18"/>
  <c r="N5" i="18" s="1"/>
  <c r="N9" i="18" s="1"/>
  <c r="N13" i="18" s="1"/>
  <c r="N17" i="18" s="1"/>
  <c r="Z3" i="18"/>
  <c r="Z5" i="18" s="1"/>
  <c r="Z9" i="18" s="1"/>
  <c r="Z13" i="18" s="1"/>
  <c r="Y5" i="18"/>
  <c r="Y9" i="18" s="1"/>
  <c r="Y13" i="18" s="1"/>
  <c r="X5" i="18"/>
  <c r="X9" i="18" s="1"/>
  <c r="X13" i="18" s="1"/>
  <c r="R5" i="18"/>
  <c r="Q5" i="18"/>
  <c r="F3" i="17"/>
  <c r="F5" i="17" s="1"/>
  <c r="F9" i="17" s="1"/>
  <c r="F13" i="17" s="1"/>
  <c r="F17" i="17" s="1"/>
  <c r="F4" i="17"/>
  <c r="F11" i="17"/>
  <c r="F16" i="17"/>
  <c r="E5" i="17"/>
  <c r="E9" i="17" s="1"/>
  <c r="V10" i="16"/>
  <c r="U10" i="16"/>
  <c r="T10" i="16"/>
  <c r="S9" i="16"/>
  <c r="S10" i="16" s="1"/>
  <c r="R10" i="16"/>
  <c r="Q10" i="16"/>
  <c r="P10" i="16"/>
  <c r="O10" i="16"/>
  <c r="N10" i="16"/>
  <c r="G10" i="6"/>
  <c r="E10" i="6"/>
  <c r="E10" i="15"/>
  <c r="V10" i="7"/>
  <c r="U10" i="7"/>
  <c r="T10" i="7"/>
  <c r="R10" i="7"/>
  <c r="Q10" i="7"/>
  <c r="P10" i="7"/>
  <c r="O10" i="7"/>
  <c r="N10" i="7"/>
  <c r="F9" i="15"/>
  <c r="F10" i="15" s="1"/>
  <c r="Z21" i="14"/>
  <c r="Z26" i="14"/>
  <c r="Y21" i="14"/>
  <c r="Y26" i="14"/>
  <c r="X21" i="14"/>
  <c r="X27" i="14" s="1"/>
  <c r="W21" i="14"/>
  <c r="W27" i="14" s="1"/>
  <c r="V21" i="14"/>
  <c r="V27" i="14" s="1"/>
  <c r="U21" i="14"/>
  <c r="U27" i="14" s="1"/>
  <c r="T21" i="14"/>
  <c r="T27" i="14"/>
  <c r="R21" i="14"/>
  <c r="R27" i="14" s="1"/>
  <c r="Q21" i="14"/>
  <c r="Q27" i="14" s="1"/>
  <c r="P21" i="14"/>
  <c r="P27" i="14" s="1"/>
  <c r="O21" i="14"/>
  <c r="O27" i="14" s="1"/>
  <c r="N21" i="14"/>
  <c r="N27" i="14" s="1"/>
  <c r="Z6" i="14"/>
  <c r="Z11" i="14" s="1"/>
  <c r="Z15" i="14"/>
  <c r="Y6" i="14"/>
  <c r="Y11" i="14"/>
  <c r="Y17" i="14" s="1"/>
  <c r="Y7" i="14"/>
  <c r="Y15" i="14"/>
  <c r="X6" i="14"/>
  <c r="X11" i="14"/>
  <c r="X17" i="14" s="1"/>
  <c r="X15" i="14"/>
  <c r="W6" i="14"/>
  <c r="W11" i="14" s="1"/>
  <c r="W15" i="14"/>
  <c r="V11" i="14"/>
  <c r="V17" i="14" s="1"/>
  <c r="U6" i="14"/>
  <c r="U11" i="14" s="1"/>
  <c r="U14" i="14"/>
  <c r="U15" i="14"/>
  <c r="U16" i="14"/>
  <c r="T6" i="14"/>
  <c r="T11" i="14" s="1"/>
  <c r="T17" i="14"/>
  <c r="R11" i="14"/>
  <c r="R17" i="14"/>
  <c r="Q6" i="14"/>
  <c r="Q7" i="14"/>
  <c r="P6" i="14"/>
  <c r="P11" i="14"/>
  <c r="P17" i="14" s="1"/>
  <c r="O6" i="14"/>
  <c r="O11" i="14" s="1"/>
  <c r="O17" i="14" s="1"/>
  <c r="N6" i="14"/>
  <c r="N11" i="14" s="1"/>
  <c r="N17" i="14" s="1"/>
  <c r="F20" i="13"/>
  <c r="F21" i="13" s="1"/>
  <c r="F27" i="13" s="1"/>
  <c r="F24" i="13"/>
  <c r="E21" i="13"/>
  <c r="E27" i="13"/>
  <c r="F6" i="13"/>
  <c r="F7" i="13"/>
  <c r="E6" i="13"/>
  <c r="E11" i="13" s="1"/>
  <c r="E17" i="13"/>
  <c r="Z5" i="12"/>
  <c r="Z9" i="12" s="1"/>
  <c r="Z12" i="12" s="1"/>
  <c r="Z14" i="12" s="1"/>
  <c r="Z17" i="12" s="1"/>
  <c r="Z27" i="12" s="1"/>
  <c r="Z7" i="12"/>
  <c r="Y5" i="12"/>
  <c r="Y9" i="12" s="1"/>
  <c r="Y12" i="12" s="1"/>
  <c r="Y14" i="12" s="1"/>
  <c r="Y17" i="12" s="1"/>
  <c r="Y27" i="12" s="1"/>
  <c r="Y7" i="12"/>
  <c r="Y16" i="12"/>
  <c r="X5" i="12"/>
  <c r="X7" i="12"/>
  <c r="V5" i="12"/>
  <c r="V7" i="12"/>
  <c r="U5" i="12"/>
  <c r="U9" i="12" s="1"/>
  <c r="U12" i="12" s="1"/>
  <c r="U14" i="12" s="1"/>
  <c r="U17" i="12" s="1"/>
  <c r="U27" i="12" s="1"/>
  <c r="U7" i="12"/>
  <c r="T5" i="12"/>
  <c r="T7" i="12"/>
  <c r="R5" i="12"/>
  <c r="Q5" i="12"/>
  <c r="Q9" i="12"/>
  <c r="Q12" i="12" s="1"/>
  <c r="Q13" i="12"/>
  <c r="Q16" i="12"/>
  <c r="P5" i="12"/>
  <c r="O5" i="12"/>
  <c r="O9" i="12" s="1"/>
  <c r="O12" i="12" s="1"/>
  <c r="O14" i="12" s="1"/>
  <c r="O17" i="12" s="1"/>
  <c r="O27" i="12" s="1"/>
  <c r="Z5" i="11"/>
  <c r="Z9" i="11" s="1"/>
  <c r="Z12" i="11" s="1"/>
  <c r="Z14" i="11" s="1"/>
  <c r="Z17" i="11" s="1"/>
  <c r="Z27" i="11" s="1"/>
  <c r="Z7" i="11"/>
  <c r="Y5" i="11"/>
  <c r="Y9" i="11" s="1"/>
  <c r="Y7" i="11"/>
  <c r="Y16" i="11"/>
  <c r="X5" i="11"/>
  <c r="X9" i="11" s="1"/>
  <c r="X12" i="11" s="1"/>
  <c r="X14" i="11" s="1"/>
  <c r="X17" i="11" s="1"/>
  <c r="X27" i="11" s="1"/>
  <c r="X7" i="11"/>
  <c r="W5" i="11"/>
  <c r="W9" i="11" s="1"/>
  <c r="W12" i="11" s="1"/>
  <c r="W14" i="11" s="1"/>
  <c r="W17" i="11" s="1"/>
  <c r="W27" i="11" s="1"/>
  <c r="W7" i="11"/>
  <c r="V5" i="11"/>
  <c r="V7" i="11"/>
  <c r="U5" i="11"/>
  <c r="U7" i="11"/>
  <c r="U8" i="11"/>
  <c r="T5" i="11"/>
  <c r="T7" i="11"/>
  <c r="S5" i="11"/>
  <c r="S9" i="11" s="1"/>
  <c r="S12" i="11" s="1"/>
  <c r="S14" i="11" s="1"/>
  <c r="S17" i="11" s="1"/>
  <c r="S27" i="11" s="1"/>
  <c r="S7" i="11"/>
  <c r="R5" i="11"/>
  <c r="R9" i="11" s="1"/>
  <c r="R12" i="11" s="1"/>
  <c r="R14" i="11" s="1"/>
  <c r="R17" i="11" s="1"/>
  <c r="R27" i="11" s="1"/>
  <c r="Q5" i="11"/>
  <c r="Q8" i="11"/>
  <c r="Q21" i="11"/>
  <c r="Q24" i="11"/>
  <c r="P5" i="11"/>
  <c r="P9" i="11"/>
  <c r="P12" i="11" s="1"/>
  <c r="P14" i="11" s="1"/>
  <c r="P17" i="11" s="1"/>
  <c r="P27" i="11" s="1"/>
  <c r="O5" i="11"/>
  <c r="O9" i="11" s="1"/>
  <c r="O12" i="11" s="1"/>
  <c r="O14" i="11" s="1"/>
  <c r="O17" i="11" s="1"/>
  <c r="O27" i="11" s="1"/>
  <c r="N5" i="11"/>
  <c r="N9" i="11"/>
  <c r="N12" i="11" s="1"/>
  <c r="N14" i="11" s="1"/>
  <c r="N17" i="11" s="1"/>
  <c r="N27" i="11" s="1"/>
  <c r="F5" i="10"/>
  <c r="F7" i="10"/>
  <c r="E5" i="10"/>
  <c r="E8" i="10"/>
  <c r="N3" i="9"/>
  <c r="N4" i="9"/>
  <c r="N5" i="9" s="1"/>
  <c r="N9" i="9" s="1"/>
  <c r="N13" i="9" s="1"/>
  <c r="N17" i="9" s="1"/>
  <c r="N6" i="5"/>
  <c r="N11" i="5" s="1"/>
  <c r="N17" i="5" s="1"/>
  <c r="N21" i="5"/>
  <c r="N27" i="5" s="1"/>
  <c r="N5" i="2"/>
  <c r="N9" i="2" s="1"/>
  <c r="N12" i="2" s="1"/>
  <c r="N14" i="2" s="1"/>
  <c r="N17" i="2" s="1"/>
  <c r="N27" i="2" s="1"/>
  <c r="E5" i="8"/>
  <c r="E9" i="8" s="1"/>
  <c r="E13" i="8" s="1"/>
  <c r="O6" i="5"/>
  <c r="O11" i="5" s="1"/>
  <c r="O17" i="5" s="1"/>
  <c r="O21" i="5"/>
  <c r="O27" i="5" s="1"/>
  <c r="E6" i="4"/>
  <c r="E11" i="4" s="1"/>
  <c r="E17" i="4" s="1"/>
  <c r="E21" i="4"/>
  <c r="E27" i="4" s="1"/>
  <c r="O5" i="3"/>
  <c r="O5" i="2"/>
  <c r="E8" i="1"/>
  <c r="E5" i="1"/>
  <c r="E9" i="1" s="1"/>
  <c r="P6" i="5"/>
  <c r="P11" i="5" s="1"/>
  <c r="P17" i="5" s="1"/>
  <c r="P5" i="9"/>
  <c r="P21" i="5"/>
  <c r="P27" i="5" s="1"/>
  <c r="P5" i="3"/>
  <c r="P9" i="3"/>
  <c r="P12" i="3" s="1"/>
  <c r="P14" i="3" s="1"/>
  <c r="P17" i="3" s="1"/>
  <c r="P27" i="3" s="1"/>
  <c r="P5" i="2"/>
  <c r="P9" i="2" s="1"/>
  <c r="P12" i="2" s="1"/>
  <c r="P14" i="2" s="1"/>
  <c r="P17" i="2" s="1"/>
  <c r="P27" i="2" s="1"/>
  <c r="Q7" i="5"/>
  <c r="Q6" i="5"/>
  <c r="Q13" i="3"/>
  <c r="Q16" i="3"/>
  <c r="Q21" i="2"/>
  <c r="Q24" i="2"/>
  <c r="Q8" i="2"/>
  <c r="Q5" i="9"/>
  <c r="Q21" i="5"/>
  <c r="Q27" i="5" s="1"/>
  <c r="Q5" i="3"/>
  <c r="Q9" i="3" s="1"/>
  <c r="Q12" i="3" s="1"/>
  <c r="Q14" i="3" s="1"/>
  <c r="Q17" i="3" s="1"/>
  <c r="Q27" i="3" s="1"/>
  <c r="Q5" i="2"/>
  <c r="R5" i="9"/>
  <c r="R21" i="5"/>
  <c r="R27" i="5" s="1"/>
  <c r="R11" i="5"/>
  <c r="R17" i="5"/>
  <c r="R5" i="3"/>
  <c r="R9" i="3" s="1"/>
  <c r="R12" i="3" s="1"/>
  <c r="R14" i="3" s="1"/>
  <c r="R17" i="3" s="1"/>
  <c r="R27" i="3" s="1"/>
  <c r="R5" i="2"/>
  <c r="S7" i="9"/>
  <c r="V5" i="9"/>
  <c r="V9" i="9" s="1"/>
  <c r="V13" i="9" s="1"/>
  <c r="V17" i="9" s="1"/>
  <c r="U5" i="9"/>
  <c r="U9" i="9" s="1"/>
  <c r="U13" i="9" s="1"/>
  <c r="U17" i="9"/>
  <c r="T5" i="9"/>
  <c r="T9" i="9" s="1"/>
  <c r="T13" i="9" s="1"/>
  <c r="T17" i="9" s="1"/>
  <c r="S4" i="9"/>
  <c r="S5" i="9" s="1"/>
  <c r="F16" i="8"/>
  <c r="F11" i="8"/>
  <c r="F4" i="8"/>
  <c r="F3" i="8"/>
  <c r="F5" i="8" s="1"/>
  <c r="F9" i="8" s="1"/>
  <c r="F13" i="8"/>
  <c r="F17" i="8" s="1"/>
  <c r="S9" i="7"/>
  <c r="S10" i="7"/>
  <c r="F9" i="6"/>
  <c r="F10" i="6"/>
  <c r="Z26" i="5"/>
  <c r="Y26" i="5"/>
  <c r="Y27" i="5" s="1"/>
  <c r="Z21" i="5"/>
  <c r="Z27" i="5" s="1"/>
  <c r="Y21" i="5"/>
  <c r="X21" i="5"/>
  <c r="X27" i="5" s="1"/>
  <c r="W21" i="5"/>
  <c r="W27" i="5" s="1"/>
  <c r="V21" i="5"/>
  <c r="V27" i="5" s="1"/>
  <c r="U21" i="5"/>
  <c r="U27" i="5" s="1"/>
  <c r="T21" i="5"/>
  <c r="T27" i="5" s="1"/>
  <c r="U16" i="5"/>
  <c r="Z15" i="5"/>
  <c r="Y15" i="5"/>
  <c r="X15" i="5"/>
  <c r="W15" i="5"/>
  <c r="U15" i="5"/>
  <c r="U14" i="5"/>
  <c r="V11" i="5"/>
  <c r="V17" i="5" s="1"/>
  <c r="Y7" i="5"/>
  <c r="Z6" i="5"/>
  <c r="Z11" i="5"/>
  <c r="Z17" i="5" s="1"/>
  <c r="Y6" i="5"/>
  <c r="X6" i="5"/>
  <c r="X11" i="5" s="1"/>
  <c r="X17" i="5" s="1"/>
  <c r="W6" i="5"/>
  <c r="W11" i="5" s="1"/>
  <c r="W17" i="5" s="1"/>
  <c r="U6" i="5"/>
  <c r="U11" i="5" s="1"/>
  <c r="T6" i="5"/>
  <c r="T11" i="5" s="1"/>
  <c r="T17" i="5" s="1"/>
  <c r="F24" i="4"/>
  <c r="F20" i="4"/>
  <c r="F21" i="4"/>
  <c r="F27" i="4" s="1"/>
  <c r="F7" i="4"/>
  <c r="F6" i="4"/>
  <c r="Y16" i="3"/>
  <c r="Z7" i="3"/>
  <c r="Y7" i="3"/>
  <c r="X7" i="3"/>
  <c r="V7" i="3"/>
  <c r="U7" i="3"/>
  <c r="T7" i="3"/>
  <c r="Z5" i="3"/>
  <c r="Z9" i="3" s="1"/>
  <c r="Z12" i="3" s="1"/>
  <c r="Z14" i="3" s="1"/>
  <c r="Z17" i="3" s="1"/>
  <c r="Z27" i="3" s="1"/>
  <c r="Y5" i="3"/>
  <c r="Y9" i="3" s="1"/>
  <c r="X5" i="3"/>
  <c r="V5" i="3"/>
  <c r="U5" i="3"/>
  <c r="T5" i="3"/>
  <c r="Y16" i="2"/>
  <c r="U8" i="2"/>
  <c r="Z7" i="2"/>
  <c r="Y7" i="2"/>
  <c r="X7" i="2"/>
  <c r="W7" i="2"/>
  <c r="V7" i="2"/>
  <c r="U7" i="2"/>
  <c r="T7" i="2"/>
  <c r="T9" i="2" s="1"/>
  <c r="T12" i="2" s="1"/>
  <c r="T14" i="2" s="1"/>
  <c r="T17" i="2" s="1"/>
  <c r="T27" i="2" s="1"/>
  <c r="S7" i="2"/>
  <c r="Z5" i="2"/>
  <c r="Z9" i="2" s="1"/>
  <c r="Z12" i="2" s="1"/>
  <c r="Z14" i="2" s="1"/>
  <c r="Z17" i="2" s="1"/>
  <c r="Z27" i="2" s="1"/>
  <c r="Y5" i="2"/>
  <c r="Y9" i="2" s="1"/>
  <c r="Y12" i="2" s="1"/>
  <c r="Y14" i="2" s="1"/>
  <c r="Y17" i="2" s="1"/>
  <c r="Y27" i="2" s="1"/>
  <c r="X5" i="2"/>
  <c r="W5" i="2"/>
  <c r="W9" i="2" s="1"/>
  <c r="W12" i="2" s="1"/>
  <c r="W14" i="2" s="1"/>
  <c r="W17" i="2" s="1"/>
  <c r="W27" i="2" s="1"/>
  <c r="V5" i="2"/>
  <c r="V9" i="2" s="1"/>
  <c r="V12" i="2" s="1"/>
  <c r="V14" i="2" s="1"/>
  <c r="V17" i="2" s="1"/>
  <c r="V27" i="2" s="1"/>
  <c r="U5" i="2"/>
  <c r="U9" i="2" s="1"/>
  <c r="U12" i="2" s="1"/>
  <c r="U14" i="2" s="1"/>
  <c r="U17" i="2" s="1"/>
  <c r="U27" i="2" s="1"/>
  <c r="T5" i="2"/>
  <c r="S5" i="2"/>
  <c r="S9" i="2" s="1"/>
  <c r="S12" i="2" s="1"/>
  <c r="S14" i="2" s="1"/>
  <c r="S17" i="2" s="1"/>
  <c r="S27" i="2" s="1"/>
  <c r="F5" i="1"/>
  <c r="F7" i="1"/>
  <c r="F11" i="4"/>
  <c r="F17" i="4" s="1"/>
  <c r="Y11" i="5"/>
  <c r="Y17" i="5" s="1"/>
  <c r="F11" i="13"/>
  <c r="F17" i="13" s="1"/>
  <c r="T9" i="3"/>
  <c r="T12" i="3" s="1"/>
  <c r="T14" i="3" s="1"/>
  <c r="T17" i="3" s="1"/>
  <c r="T27" i="3" s="1"/>
  <c r="Y12" i="3"/>
  <c r="Y14" i="3" s="1"/>
  <c r="Y17" i="3" s="1"/>
  <c r="Y27" i="3" s="1"/>
  <c r="X9" i="2"/>
  <c r="X12" i="2" s="1"/>
  <c r="X14" i="2" s="1"/>
  <c r="E9" i="10"/>
  <c r="E12" i="10" s="1"/>
  <c r="E14" i="10" s="1"/>
  <c r="E17" i="10" s="1"/>
  <c r="E27" i="10" s="1"/>
  <c r="E12" i="1"/>
  <c r="E14" i="1" s="1"/>
  <c r="E17" i="1" s="1"/>
  <c r="E27" i="1" s="1"/>
  <c r="T9" i="12"/>
  <c r="T12" i="12" s="1"/>
  <c r="T14" i="12" s="1"/>
  <c r="T17" i="12" s="1"/>
  <c r="T27" i="12" s="1"/>
  <c r="R9" i="12"/>
  <c r="R12" i="12" s="1"/>
  <c r="R14" i="12" s="1"/>
  <c r="R17" i="12" s="1"/>
  <c r="R27" i="12" s="1"/>
  <c r="X9" i="12"/>
  <c r="X12" i="12" s="1"/>
  <c r="X14" i="12" s="1"/>
  <c r="X17" i="12"/>
  <c r="X27" i="12" s="1"/>
  <c r="M9" i="3"/>
  <c r="M12" i="3" s="1"/>
  <c r="M14" i="3" s="1"/>
  <c r="M17" i="3" s="1"/>
  <c r="X9" i="3"/>
  <c r="X12" i="3" s="1"/>
  <c r="X14" i="3" s="1"/>
  <c r="X17" i="3" s="1"/>
  <c r="X27" i="3" s="1"/>
  <c r="T9" i="11"/>
  <c r="T12" i="11"/>
  <c r="T14" i="11" s="1"/>
  <c r="T17" i="11" s="1"/>
  <c r="T27" i="11" s="1"/>
  <c r="Y12" i="11"/>
  <c r="Y14" i="11" s="1"/>
  <c r="Y17" i="11"/>
  <c r="Y27" i="11" s="1"/>
  <c r="V9" i="11"/>
  <c r="V12" i="11" s="1"/>
  <c r="V14" i="11" s="1"/>
  <c r="V17" i="11" s="1"/>
  <c r="V27" i="11" s="1"/>
  <c r="X17" i="2"/>
  <c r="X27" i="2" s="1"/>
  <c r="R9" i="2"/>
  <c r="R12" i="2" s="1"/>
  <c r="R14" i="2" s="1"/>
  <c r="R17" i="2" s="1"/>
  <c r="R27" i="2" s="1"/>
  <c r="F9" i="1"/>
  <c r="F12" i="1" s="1"/>
  <c r="F14" i="1"/>
  <c r="F17" i="1" s="1"/>
  <c r="F27" i="1" s="1"/>
  <c r="F9" i="10"/>
  <c r="F12" i="10"/>
  <c r="F14" i="10" s="1"/>
  <c r="F17" i="10" s="1"/>
  <c r="F27" i="10" s="1"/>
  <c r="Q11" i="5" l="1"/>
  <c r="Q17" i="5" s="1"/>
  <c r="Z17" i="14"/>
  <c r="Z27" i="14"/>
  <c r="C21" i="5"/>
  <c r="U17" i="14"/>
  <c r="Q11" i="14"/>
  <c r="Q17" i="14" s="1"/>
  <c r="E11" i="14"/>
  <c r="E17" i="14" s="1"/>
  <c r="E17" i="5" s="1"/>
  <c r="Q14" i="12"/>
  <c r="Q17" i="12" s="1"/>
  <c r="Q27" i="12" s="1"/>
  <c r="V9" i="12"/>
  <c r="V12" i="12" s="1"/>
  <c r="V14" i="12" s="1"/>
  <c r="V17" i="12" s="1"/>
  <c r="V27" i="12" s="1"/>
  <c r="U9" i="3"/>
  <c r="U12" i="3" s="1"/>
  <c r="U14" i="3" s="1"/>
  <c r="U17" i="3" s="1"/>
  <c r="U27" i="3" s="1"/>
  <c r="K9" i="3"/>
  <c r="K12" i="3" s="1"/>
  <c r="K14" i="3" s="1"/>
  <c r="K17" i="3" s="1"/>
  <c r="K27" i="3" s="1"/>
  <c r="I14" i="3"/>
  <c r="I17" i="3" s="1"/>
  <c r="I27" i="3" s="1"/>
  <c r="V9" i="3"/>
  <c r="V12" i="3" s="1"/>
  <c r="V14" i="3" s="1"/>
  <c r="V17" i="3" s="1"/>
  <c r="V27" i="3" s="1"/>
  <c r="L9" i="3"/>
  <c r="L12" i="3" s="1"/>
  <c r="L14" i="3" s="1"/>
  <c r="L17" i="3" s="1"/>
  <c r="L27" i="3" s="1"/>
  <c r="E9" i="3"/>
  <c r="O9" i="3"/>
  <c r="O12" i="3" s="1"/>
  <c r="O14" i="3" s="1"/>
  <c r="O17" i="3" s="1"/>
  <c r="O27" i="3" s="1"/>
  <c r="O9" i="2"/>
  <c r="O12" i="2" s="1"/>
  <c r="O14" i="2" s="1"/>
  <c r="O17" i="2" s="1"/>
  <c r="O27" i="2" s="1"/>
  <c r="C11" i="5"/>
  <c r="C17" i="5"/>
  <c r="W17" i="14"/>
  <c r="C7" i="5"/>
  <c r="B17" i="4"/>
  <c r="B17" i="13" s="1"/>
  <c r="B11" i="13"/>
  <c r="U9" i="11"/>
  <c r="U12" i="11" s="1"/>
  <c r="U14" i="11" s="1"/>
  <c r="U17" i="11" s="1"/>
  <c r="U27" i="11" s="1"/>
  <c r="Y27" i="14"/>
  <c r="Q9" i="11"/>
  <c r="Q12" i="11" s="1"/>
  <c r="Q14" i="11" s="1"/>
  <c r="Q17" i="11" s="1"/>
  <c r="Q27" i="11" s="1"/>
  <c r="E13" i="17"/>
  <c r="C21" i="13"/>
  <c r="C27" i="4"/>
  <c r="C27" i="13" s="1"/>
  <c r="U17" i="5"/>
  <c r="S9" i="9"/>
  <c r="S13" i="9" s="1"/>
  <c r="S17" i="9" s="1"/>
  <c r="Q9" i="2"/>
  <c r="Q12" i="2" s="1"/>
  <c r="Q14" i="2" s="1"/>
  <c r="Q17" i="2" s="1"/>
  <c r="Q27" i="2" s="1"/>
  <c r="P9" i="12"/>
  <c r="P12" i="12" s="1"/>
  <c r="P14" i="12" s="1"/>
  <c r="P17" i="12" s="1"/>
  <c r="P27" i="12" s="1"/>
  <c r="D9" i="1"/>
  <c r="D12" i="1" s="1"/>
  <c r="D14" i="1" s="1"/>
  <c r="D17" i="1" s="1"/>
  <c r="D27" i="1" s="1"/>
  <c r="H10" i="7"/>
  <c r="E11" i="5" l="1"/>
  <c r="E9" i="12"/>
  <c r="E12" i="3"/>
  <c r="E12" i="12" l="1"/>
  <c r="E14" i="3"/>
  <c r="E14" i="12" l="1"/>
  <c r="E17" i="3"/>
  <c r="E27" i="3" l="1"/>
  <c r="E27" i="12" s="1"/>
  <c r="E17" i="12"/>
</calcChain>
</file>

<file path=xl/sharedStrings.xml><?xml version="1.0" encoding="utf-8"?>
<sst xmlns="http://schemas.openxmlformats.org/spreadsheetml/2006/main" count="856" uniqueCount="240">
  <si>
    <t>MSEK</t>
  </si>
  <si>
    <t>2018</t>
  </si>
  <si>
    <t>2017</t>
  </si>
  <si>
    <t>Nettoomsättning</t>
  </si>
  <si>
    <t>Kostnad för sålda varor</t>
  </si>
  <si>
    <t>Bruttoresultat</t>
  </si>
  <si>
    <t>Rörelsekostnader</t>
  </si>
  <si>
    <t>Övriga rörelseintäkter och kostnader</t>
  </si>
  <si>
    <t>Rörelseresultat</t>
  </si>
  <si>
    <t>Finansiella poster – netto</t>
  </si>
  <si>
    <t>Resultat före skatt</t>
  </si>
  <si>
    <t>Inkomstskatt</t>
  </si>
  <si>
    <t>Periodens resultat</t>
  </si>
  <si>
    <t>Övrigt totalresultat</t>
  </si>
  <si>
    <t>Poster som inte ska återföras i resultaträkningen</t>
  </si>
  <si>
    <t>Omvärdering av förmånsbestämda pensioner</t>
  </si>
  <si>
    <t>Skatt hänförligt till övrigt totalresultat</t>
  </si>
  <si>
    <t>Poster som senare kan återföras i resultaträkningen</t>
  </si>
  <si>
    <t>Omräkningsdifferenser</t>
  </si>
  <si>
    <t>Säkring av mässing</t>
  </si>
  <si>
    <t>Summa totalresultat hänförligt till moderföretagets aktieägare</t>
  </si>
  <si>
    <t>Resultat per aktie</t>
  </si>
  <si>
    <t>Resultat per aktie (kronor)</t>
  </si>
  <si>
    <t>Genomsnittligt antal aktier (miljoner)</t>
  </si>
  <si>
    <t>Före och efter utspädning (kronor)</t>
  </si>
  <si>
    <t>TILLGÅNGAR</t>
  </si>
  <si>
    <t>Anläggningstillgångar</t>
  </si>
  <si>
    <t>Immateriella tillgångar</t>
  </si>
  <si>
    <t>Materiella anläggningstillgångar</t>
  </si>
  <si>
    <t>Finansiella anläggningstillgångar</t>
  </si>
  <si>
    <t>Uppskjutna skattefordringar</t>
  </si>
  <si>
    <t>Summa anläggningstillgångar</t>
  </si>
  <si>
    <t>Omsättningstillgångar</t>
  </si>
  <si>
    <t>Varulager</t>
  </si>
  <si>
    <t>Övriga omsättningstillgångar</t>
  </si>
  <si>
    <t>Kassa och bank</t>
  </si>
  <si>
    <t>SUMMA TILLGÅNGAR</t>
  </si>
  <si>
    <t>EGET KAPITAL</t>
  </si>
  <si>
    <t>Eget kapital som kan hänföras till moderbolagets aktieägare</t>
  </si>
  <si>
    <t>Summa eget kapital</t>
  </si>
  <si>
    <t>SKULDER</t>
  </si>
  <si>
    <t>Långfristiga skulder</t>
  </si>
  <si>
    <t>Checkräkningskredit</t>
  </si>
  <si>
    <t>-</t>
  </si>
  <si>
    <t>Kortfristiga skulder</t>
  </si>
  <si>
    <t>SUMMA SKULDER OCH EGET KAPITAL</t>
  </si>
  <si>
    <t>Balansräkning - Helår</t>
  </si>
  <si>
    <t>Balansräkning - Kvartal</t>
  </si>
  <si>
    <t>Ingående balans 1 januari</t>
  </si>
  <si>
    <t>Nyemission</t>
  </si>
  <si>
    <t>Emissionsutgifter, netto</t>
  </si>
  <si>
    <t>Utdelning</t>
  </si>
  <si>
    <t>Totalresultat</t>
  </si>
  <si>
    <t>Utgående balans</t>
  </si>
  <si>
    <t>Kassaflöde från den löpande verksamheten före förändring av rörelsekapital</t>
  </si>
  <si>
    <t>Förändring av rörelsekapital mm</t>
  </si>
  <si>
    <t>Kassaflöde från den löpande verksamheten</t>
  </si>
  <si>
    <t>Kassaflöde från investeringsverksamheten</t>
  </si>
  <si>
    <t>Kassaflöde efter investeringar</t>
  </si>
  <si>
    <t>Kassaflöde från finansieringsverksamheten</t>
  </si>
  <si>
    <t>Periodens kassaflöde</t>
  </si>
  <si>
    <t>Likvida medel vid periodens början</t>
  </si>
  <si>
    <t>Valutadifferens i likvida medel</t>
  </si>
  <si>
    <t>Likvida medel vid periodens slut</t>
  </si>
  <si>
    <t>Kassaflödesanalys - Helår</t>
  </si>
  <si>
    <t>Kassaflödesanalys - Kvartal</t>
  </si>
  <si>
    <t>2017
31 Dec</t>
  </si>
  <si>
    <t>Nyttjanderättstillgångar</t>
  </si>
  <si>
    <t>Resultaträkning - Helår</t>
  </si>
  <si>
    <t>Resultaträkning - Kvartal</t>
  </si>
  <si>
    <t>Resultaträkning - Delår</t>
  </si>
  <si>
    <t>Förändring  eget kapital - Helår</t>
  </si>
  <si>
    <t>Förändring eget kapital - Kvartal</t>
  </si>
  <si>
    <t>2019</t>
  </si>
  <si>
    <t>Kvittningsemission</t>
  </si>
  <si>
    <t>Net sales</t>
  </si>
  <si>
    <t>Cost of sales</t>
  </si>
  <si>
    <t>Gross profit/loss</t>
  </si>
  <si>
    <t>Other operating income and expenses</t>
  </si>
  <si>
    <t>Operating profit/loss</t>
  </si>
  <si>
    <t>Financial items - net</t>
  </si>
  <si>
    <t>Profit/loss after financial items</t>
  </si>
  <si>
    <t>Tax</t>
  </si>
  <si>
    <t>Profit/loss for the period</t>
  </si>
  <si>
    <t>Other comprehensive income</t>
  </si>
  <si>
    <t>Exchange rate differences</t>
  </si>
  <si>
    <t>Hedge accounting of brass contracts</t>
  </si>
  <si>
    <t>Total comprehensive income attributable to Parent Company shareholders</t>
  </si>
  <si>
    <t>Earnings per share</t>
  </si>
  <si>
    <t>Before and after full conversion, SEK</t>
  </si>
  <si>
    <t>Average no. of shares, m</t>
  </si>
  <si>
    <t>Items that will not be reclassified to profit or loss</t>
  </si>
  <si>
    <t>Items that may be reclassified subsequently to profit or loss</t>
  </si>
  <si>
    <t>Remeasurement of defined benefit pension plans</t>
  </si>
  <si>
    <t>Tax on items relating to other comprehensive income</t>
  </si>
  <si>
    <t>ASSETS</t>
  </si>
  <si>
    <t>Non-current assets</t>
  </si>
  <si>
    <t>Intangible assets</t>
  </si>
  <si>
    <t>Property, plant and equipment</t>
  </si>
  <si>
    <t>Financial assets</t>
  </si>
  <si>
    <t>Deferred tax assets</t>
  </si>
  <si>
    <t>Total non-current assets</t>
  </si>
  <si>
    <t>Current assets</t>
  </si>
  <si>
    <t>Inventories</t>
  </si>
  <si>
    <t>Other current assets</t>
  </si>
  <si>
    <t>TOTAL ASSETS</t>
  </si>
  <si>
    <t>EQUITY</t>
  </si>
  <si>
    <t>Total equity</t>
  </si>
  <si>
    <t>LIABILITIES</t>
  </si>
  <si>
    <t>Non-current liabilities</t>
  </si>
  <si>
    <t>Current liabilities</t>
  </si>
  <si>
    <t>TOTAL EQUITY AND LIABILITIES</t>
  </si>
  <si>
    <t>Overdraft</t>
  </si>
  <si>
    <t>Equity attributable to parent company shareholders</t>
  </si>
  <si>
    <t>Leased assets</t>
  </si>
  <si>
    <t>Dividend</t>
  </si>
  <si>
    <t>Closing equity</t>
  </si>
  <si>
    <t>Opening equity 1 January</t>
  </si>
  <si>
    <t>Set-off share issue</t>
  </si>
  <si>
    <t>New share issue</t>
  </si>
  <si>
    <t>Share issue costs</t>
  </si>
  <si>
    <t>Total comprehensive income</t>
  </si>
  <si>
    <t>Cash flow from operating activities before changes</t>
  </si>
  <si>
    <t>Working capital changes</t>
  </si>
  <si>
    <t>Cash flow from operating activities</t>
  </si>
  <si>
    <t>Cash flow from investing activities</t>
  </si>
  <si>
    <t>Cash flow after investments</t>
  </si>
  <si>
    <t>Cash flow from financing activities</t>
  </si>
  <si>
    <t>Cash flow for the period</t>
  </si>
  <si>
    <t>Cash and cash equivalents at the end of the year</t>
  </si>
  <si>
    <t>Cash and cash equivalents at the beginning of the year</t>
  </si>
  <si>
    <t>Effect of exchange rate changes</t>
  </si>
  <si>
    <t>Cash flow from operating activities before working capital changes</t>
  </si>
  <si>
    <t>Income statement - Full year</t>
  </si>
  <si>
    <t>Income statement - YTD</t>
  </si>
  <si>
    <t>Balance sheet - Full year</t>
  </si>
  <si>
    <t>Cash flow - Full year</t>
  </si>
  <si>
    <t>Income statement - Quarterly</t>
  </si>
  <si>
    <t>Balance sheet - Quarterly</t>
  </si>
  <si>
    <t>Change in Equity - Full year</t>
  </si>
  <si>
    <t>Change in Equity - Quarterly</t>
  </si>
  <si>
    <t>Cash flow - Quarterly</t>
  </si>
  <si>
    <t>2020
Jan-Mar</t>
  </si>
  <si>
    <t xml:space="preserve">2019
Jan-Mar </t>
  </si>
  <si>
    <t>2018
Jan-Mar</t>
  </si>
  <si>
    <t>2017
Jan-Mar</t>
  </si>
  <si>
    <t>2019
Jan-Mar</t>
  </si>
  <si>
    <t>2019
Apr-Jun</t>
  </si>
  <si>
    <t>2018
Apr-Jun</t>
  </si>
  <si>
    <t>2017
Apr-Jun</t>
  </si>
  <si>
    <t xml:space="preserve">2019
Apr-Jun </t>
  </si>
  <si>
    <t>2019
Jul-Sep</t>
  </si>
  <si>
    <t>2018
Jul-Sep</t>
  </si>
  <si>
    <t>2017
Jul-Sep</t>
  </si>
  <si>
    <t xml:space="preserve">2019
Jul-Sep </t>
  </si>
  <si>
    <t>2019
Okt-Dec</t>
  </si>
  <si>
    <t xml:space="preserve">2018
Okt-Dec </t>
  </si>
  <si>
    <t>2017
Okt-Dec</t>
  </si>
  <si>
    <t>2019
Jan-Jun</t>
  </si>
  <si>
    <t>2018
Jan-Jun</t>
  </si>
  <si>
    <t>2017
Jan-Jun</t>
  </si>
  <si>
    <t>2019
Jan-Sep</t>
  </si>
  <si>
    <t>2018
Jan-Sep</t>
  </si>
  <si>
    <t>2017
Jan-Sep</t>
  </si>
  <si>
    <t>2019
Jan-Dec</t>
  </si>
  <si>
    <t>2018
Jan-Dec</t>
  </si>
  <si>
    <t>2017
Jan-Dec</t>
  </si>
  <si>
    <t>2020
31 Mar</t>
  </si>
  <si>
    <t>2019
31 Mar</t>
  </si>
  <si>
    <t>2018
31 Mar</t>
  </si>
  <si>
    <t>2017
31 Mar</t>
  </si>
  <si>
    <t>2019
31 Dec</t>
  </si>
  <si>
    <t>2018
31 Dec</t>
  </si>
  <si>
    <t>2019
30 Sep</t>
  </si>
  <si>
    <t>2018
30 Sep</t>
  </si>
  <si>
    <t>2017
30 Sep</t>
  </si>
  <si>
    <t>2019
30 Jun</t>
  </si>
  <si>
    <t>2018
30 Jun</t>
  </si>
  <si>
    <t>2017
30 Jun</t>
  </si>
  <si>
    <t>2020
Apr-jun</t>
  </si>
  <si>
    <t>2020
Apr-Jun</t>
  </si>
  <si>
    <t>2020
Jan-Jun</t>
  </si>
  <si>
    <t>2020
30 Jun</t>
  </si>
  <si>
    <t>-27.44</t>
  </si>
  <si>
    <t>-16.6</t>
  </si>
  <si>
    <t>2020
Jul-Sep</t>
  </si>
  <si>
    <t>2020
Jan-Sep</t>
  </si>
  <si>
    <t>2020
30 Sep</t>
  </si>
  <si>
    <t>2020</t>
  </si>
  <si>
    <t>2020
Okt-dec</t>
  </si>
  <si>
    <t>2020
Jan-Dec</t>
  </si>
  <si>
    <t>2020
31 Dec</t>
  </si>
  <si>
    <t>2020
Okt-Dec</t>
  </si>
  <si>
    <t>2021
Jan-Mar</t>
  </si>
  <si>
    <t>2021
31 Mar</t>
  </si>
  <si>
    <t>EBITA</t>
  </si>
  <si>
    <t>Förvärvsrelaterade av- och nedskrivningar</t>
  </si>
  <si>
    <t>Amortisation from acquisitions</t>
  </si>
  <si>
    <t>Operating expenses</t>
  </si>
  <si>
    <t>2021
Apr-Jun</t>
  </si>
  <si>
    <t>2021
Jan-Jun</t>
  </si>
  <si>
    <t>2021
30 Jun</t>
  </si>
  <si>
    <t>2021
30 Sep</t>
  </si>
  <si>
    <t>2021
Jul-Sep</t>
  </si>
  <si>
    <t>2021 
Jul-Sep</t>
  </si>
  <si>
    <t>2021
Jan-Sep</t>
  </si>
  <si>
    <t>2021</t>
  </si>
  <si>
    <t>2021
Jan-Dec</t>
  </si>
  <si>
    <t>2021
31 Dec</t>
  </si>
  <si>
    <t/>
  </si>
  <si>
    <t>2021 
Okt-Dec</t>
  </si>
  <si>
    <t>Cash and bank balances</t>
  </si>
  <si>
    <t>2021
Okt-Dec</t>
  </si>
  <si>
    <t>2021
Oct-Dec</t>
  </si>
  <si>
    <t>2020
Oct-Dec</t>
  </si>
  <si>
    <t>2019
Oct-Dec</t>
  </si>
  <si>
    <t xml:space="preserve">2018
Oct-Dec </t>
  </si>
  <si>
    <t>2017
Oct-Dec</t>
  </si>
  <si>
    <t>2021 
Oct-Dec</t>
  </si>
  <si>
    <t>2020
Oct-dec</t>
  </si>
  <si>
    <t>2022 
Jan-Mar</t>
  </si>
  <si>
    <t>2022
Jan-Mar</t>
  </si>
  <si>
    <t>2022
31 Mar</t>
  </si>
  <si>
    <t>2022
Jan-Jun</t>
  </si>
  <si>
    <t>2022
30 Jun</t>
  </si>
  <si>
    <t>2022 
April-Jun</t>
  </si>
  <si>
    <t>2022
April-Jun</t>
  </si>
  <si>
    <t>2022
 Juli-Sep</t>
  </si>
  <si>
    <t>2022
Jul-Sep</t>
  </si>
  <si>
    <t>2022
Jan-Sep</t>
  </si>
  <si>
    <t>2022
30 Sep</t>
  </si>
  <si>
    <t>2022</t>
  </si>
  <si>
    <t>2022
Okt-Dec</t>
  </si>
  <si>
    <t>2022
Jan-Dec</t>
  </si>
  <si>
    <t>2022
31 Dec</t>
  </si>
  <si>
    <t>Antal aktier (miljoner)</t>
  </si>
  <si>
    <t>2023 
Jan-Mar</t>
  </si>
  <si>
    <t>2023
Jan-Mar</t>
  </si>
  <si>
    <t>2023
31 Mar</t>
  </si>
  <si>
    <t>2022
Apr-Jun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</si>
</sst>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"/>
    <numFmt numFmtId="166" formatCode="#,##0.0"/>
    <numFmt numFmtId="167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8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horizontal="left"/>
    </xf>
    <xf numFmtId="0" fontId="3" fillId="0" borderId="0" applyNumberFormat="0" applyFill="0" applyBorder="0" applyProtection="0">
      <alignment horizontal="left"/>
    </xf>
    <xf numFmtId="49" fontId="4" fillId="0" borderId="1" applyFill="0" applyProtection="0">
      <alignment horizontal="left"/>
    </xf>
    <xf numFmtId="3" fontId="3" fillId="0" borderId="2" applyNumberFormat="0" applyFill="0" applyAlignment="0" applyProtection="0">
      <alignment horizontal="right" vertical="top"/>
    </xf>
    <xf numFmtId="49" fontId="4" fillId="0" borderId="1" applyFill="0" applyProtection="0">
      <alignment horizontal="right"/>
    </xf>
    <xf numFmtId="167" fontId="12" fillId="0" borderId="0" applyFont="0" applyFill="0" applyBorder="0" applyAlignment="0" applyProtection="0"/>
    <xf numFmtId="0" fontId="12" fillId="0" borderId="0"/>
  </cellStyleXfs>
  <cellXfs count="122">
    <xf numFmtId="0" fontId="0" fillId="0" borderId="0" xfId="0"/>
    <xf numFmtId="165" fontId="0" fillId="0" borderId="0" xfId="0" applyNumberFormat="1" applyAlignment="1">
      <alignment horizontal="right"/>
    </xf>
    <xf numFmtId="0" fontId="0" fillId="0" borderId="0" xfId="0"/>
    <xf numFmtId="2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6" fontId="0" fillId="0" borderId="0" xfId="0" applyNumberFormat="1"/>
    <xf numFmtId="166" fontId="0" fillId="0" borderId="0" xfId="0" applyNumberFormat="1" applyAlignment="1">
      <alignment horizontal="right"/>
    </xf>
    <xf numFmtId="3" fontId="0" fillId="0" borderId="0" xfId="0" applyNumberFormat="1"/>
    <xf numFmtId="165" fontId="0" fillId="0" borderId="0" xfId="0" applyNumberFormat="1"/>
    <xf numFmtId="3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right"/>
    </xf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left"/>
    </xf>
    <xf numFmtId="166" fontId="1" fillId="0" borderId="0" xfId="0" applyNumberFormat="1" applyFont="1" applyAlignment="1">
      <alignment horizontal="right"/>
    </xf>
    <xf numFmtId="3" fontId="1" fillId="0" borderId="2" xfId="0" applyNumberFormat="1" applyFont="1" applyBorder="1" applyAlignment="1">
      <alignment horizontal="left"/>
    </xf>
    <xf numFmtId="166" fontId="1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0" xfId="0" applyFont="1"/>
    <xf numFmtId="3" fontId="1" fillId="0" borderId="2" xfId="0" applyNumberFormat="1" applyFont="1" applyBorder="1"/>
    <xf numFmtId="49" fontId="1" fillId="0" borderId="1" xfId="0" applyNumberFormat="1" applyFont="1" applyBorder="1"/>
    <xf numFmtId="4" fontId="0" fillId="0" borderId="0" xfId="0" applyNumberFormat="1"/>
    <xf numFmtId="4" fontId="0" fillId="0" borderId="0" xfId="0" applyNumberFormat="1" applyAlignment="1">
      <alignment horizontal="left"/>
    </xf>
    <xf numFmtId="166" fontId="5" fillId="0" borderId="0" xfId="0" applyNumberFormat="1" applyFont="1"/>
    <xf numFmtId="166" fontId="1" fillId="0" borderId="1" xfId="0" applyNumberFormat="1" applyFont="1" applyBorder="1" applyAlignment="1">
      <alignment horizontal="left"/>
    </xf>
    <xf numFmtId="166" fontId="0" fillId="0" borderId="0" xfId="0" applyNumberFormat="1" applyAlignment="1">
      <alignment horizontal="left"/>
    </xf>
    <xf numFmtId="166" fontId="1" fillId="0" borderId="2" xfId="0" applyNumberFormat="1" applyFont="1" applyBorder="1" applyAlignment="1">
      <alignment horizontal="left"/>
    </xf>
    <xf numFmtId="166" fontId="1" fillId="0" borderId="0" xfId="0" applyNumberFormat="1" applyFont="1" applyAlignment="1">
      <alignment horizontal="left"/>
    </xf>
    <xf numFmtId="166" fontId="1" fillId="0" borderId="0" xfId="0" applyNumberFormat="1" applyFont="1"/>
    <xf numFmtId="0" fontId="5" fillId="0" borderId="0" xfId="0" applyFont="1" applyAlignment="1">
      <alignment horizontal="left"/>
    </xf>
    <xf numFmtId="166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left"/>
    </xf>
    <xf numFmtId="166" fontId="0" fillId="0" borderId="0" xfId="0" applyNumberFormat="1" applyFont="1"/>
    <xf numFmtId="165" fontId="1" fillId="0" borderId="2" xfId="0" applyNumberFormat="1" applyFont="1" applyBorder="1" applyAlignment="1">
      <alignment horizontal="right"/>
    </xf>
    <xf numFmtId="166" fontId="6" fillId="0" borderId="0" xfId="0" applyNumberFormat="1" applyFont="1"/>
    <xf numFmtId="166" fontId="7" fillId="0" borderId="1" xfId="0" applyNumberFormat="1" applyFont="1" applyBorder="1" applyAlignment="1">
      <alignment horizontal="right" wrapText="1"/>
    </xf>
    <xf numFmtId="166" fontId="6" fillId="0" borderId="0" xfId="0" applyNumberFormat="1" applyFont="1" applyAlignment="1">
      <alignment horizontal="right"/>
    </xf>
    <xf numFmtId="166" fontId="7" fillId="0" borderId="2" xfId="0" applyNumberFormat="1" applyFont="1" applyBorder="1" applyAlignment="1">
      <alignment horizontal="right"/>
    </xf>
    <xf numFmtId="166" fontId="7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0" fontId="6" fillId="0" borderId="0" xfId="0" applyFont="1"/>
    <xf numFmtId="49" fontId="7" fillId="0" borderId="1" xfId="0" applyNumberFormat="1" applyFont="1" applyBorder="1" applyAlignment="1">
      <alignment horizontal="right" wrapText="1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165" fontId="6" fillId="0" borderId="0" xfId="0" applyNumberFormat="1" applyFont="1" applyAlignment="1">
      <alignment horizontal="right"/>
    </xf>
    <xf numFmtId="165" fontId="7" fillId="0" borderId="2" xfId="0" applyNumberFormat="1" applyFont="1" applyBorder="1" applyAlignment="1">
      <alignment horizontal="right"/>
    </xf>
    <xf numFmtId="49" fontId="7" fillId="0" borderId="1" xfId="0" applyNumberFormat="1" applyFont="1" applyBorder="1" applyAlignment="1">
      <alignment horizontal="right"/>
    </xf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49" fontId="7" fillId="0" borderId="0" xfId="0" applyNumberFormat="1" applyFont="1" applyAlignment="1">
      <alignment horizontal="right"/>
    </xf>
    <xf numFmtId="166" fontId="9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left"/>
    </xf>
    <xf numFmtId="166" fontId="1" fillId="0" borderId="0" xfId="0" applyNumberFormat="1" applyFont="1" applyBorder="1" applyAlignment="1">
      <alignment horizontal="left"/>
    </xf>
    <xf numFmtId="166" fontId="0" fillId="0" borderId="0" xfId="0" applyNumberFormat="1" applyBorder="1" applyAlignment="1">
      <alignment horizontal="left"/>
    </xf>
    <xf numFmtId="166" fontId="6" fillId="0" borderId="0" xfId="0" quotePrefix="1" applyNumberFormat="1" applyFont="1" applyAlignment="1">
      <alignment horizontal="right"/>
    </xf>
    <xf numFmtId="166" fontId="0" fillId="0" borderId="0" xfId="0" quotePrefix="1" applyNumberFormat="1" applyAlignment="1">
      <alignment horizontal="right"/>
    </xf>
    <xf numFmtId="165" fontId="6" fillId="0" borderId="0" xfId="0" applyNumberFormat="1" applyFont="1" applyFill="1" applyAlignment="1">
      <alignment horizontal="right"/>
    </xf>
    <xf numFmtId="165" fontId="7" fillId="0" borderId="2" xfId="0" applyNumberFormat="1" applyFont="1" applyFill="1" applyBorder="1" applyAlignment="1">
      <alignment horizontal="right"/>
    </xf>
    <xf numFmtId="2" fontId="6" fillId="0" borderId="0" xfId="0" quotePrefix="1" applyNumberFormat="1" applyFont="1" applyAlignment="1">
      <alignment horizontal="right"/>
    </xf>
    <xf numFmtId="166" fontId="6" fillId="2" borderId="0" xfId="0" applyNumberFormat="1" applyFont="1" applyFill="1" applyBorder="1" applyAlignment="1">
      <alignment horizontal="right" wrapText="1"/>
    </xf>
    <xf numFmtId="165" fontId="6" fillId="0" borderId="0" xfId="0" quotePrefix="1" applyNumberFormat="1" applyFont="1" applyAlignment="1">
      <alignment horizontal="right"/>
    </xf>
    <xf numFmtId="166" fontId="0" fillId="0" borderId="1" xfId="0" applyNumberFormat="1" applyBorder="1" applyAlignment="1">
      <alignment horizontal="left"/>
    </xf>
    <xf numFmtId="166" fontId="6" fillId="0" borderId="1" xfId="0" applyNumberFormat="1" applyFont="1" applyBorder="1" applyAlignment="1">
      <alignment horizontal="right"/>
    </xf>
    <xf numFmtId="166" fontId="0" fillId="0" borderId="1" xfId="0" applyNumberFormat="1" applyBorder="1" applyAlignment="1">
      <alignment horizontal="right"/>
    </xf>
    <xf numFmtId="166" fontId="9" fillId="0" borderId="0" xfId="0" applyNumberFormat="1" applyFont="1" applyAlignment="1">
      <alignment horizontal="left"/>
    </xf>
    <xf numFmtId="166" fontId="11" fillId="0" borderId="0" xfId="0" applyNumberFormat="1" applyFont="1"/>
    <xf numFmtId="3" fontId="0" fillId="0" borderId="1" xfId="0" applyNumberFormat="1" applyBorder="1" applyAlignment="1">
      <alignment horizontal="left"/>
    </xf>
    <xf numFmtId="166" fontId="6" fillId="0" borderId="0" xfId="0" applyNumberFormat="1" applyFont="1" applyBorder="1" applyAlignment="1">
      <alignment horizontal="right"/>
    </xf>
    <xf numFmtId="0" fontId="11" fillId="0" borderId="0" xfId="0" applyFont="1"/>
    <xf numFmtId="166" fontId="7" fillId="0" borderId="0" xfId="0" applyNumberFormat="1" applyFont="1" applyAlignment="1">
      <alignment horizontal="left"/>
    </xf>
    <xf numFmtId="166" fontId="6" fillId="0" borderId="0" xfId="0" applyNumberFormat="1" applyFont="1" applyAlignment="1">
      <alignment horizontal="left"/>
    </xf>
    <xf numFmtId="166" fontId="7" fillId="0" borderId="2" xfId="0" applyNumberFormat="1" applyFont="1" applyBorder="1" applyAlignment="1">
      <alignment horizontal="left"/>
    </xf>
    <xf numFmtId="166" fontId="7" fillId="0" borderId="0" xfId="0" applyNumberFormat="1" applyFont="1" applyBorder="1" applyAlignment="1">
      <alignment horizontal="left"/>
    </xf>
    <xf numFmtId="166" fontId="7" fillId="0" borderId="0" xfId="0" applyNumberFormat="1" applyFont="1" applyBorder="1" applyAlignment="1">
      <alignment horizontal="right"/>
    </xf>
    <xf numFmtId="3" fontId="7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right"/>
    </xf>
    <xf numFmtId="166" fontId="8" fillId="0" borderId="0" xfId="0" applyNumberFormat="1" applyFont="1"/>
    <xf numFmtId="166" fontId="6" fillId="0" borderId="0" xfId="0" applyNumberFormat="1" applyFont="1" applyFill="1" applyAlignment="1">
      <alignment horizontal="right"/>
    </xf>
    <xf numFmtId="166" fontId="7" fillId="0" borderId="2" xfId="0" applyNumberFormat="1" applyFont="1" applyFill="1" applyBorder="1" applyAlignment="1">
      <alignment horizontal="right"/>
    </xf>
    <xf numFmtId="166" fontId="6" fillId="0" borderId="1" xfId="0" applyNumberFormat="1" applyFont="1" applyFill="1" applyBorder="1" applyAlignment="1">
      <alignment horizontal="right"/>
    </xf>
    <xf numFmtId="166" fontId="7" fillId="0" borderId="0" xfId="0" applyNumberFormat="1" applyFont="1" applyFill="1" applyAlignment="1">
      <alignment horizontal="right"/>
    </xf>
    <xf numFmtId="4" fontId="6" fillId="0" borderId="0" xfId="0" applyNumberFormat="1" applyFont="1" applyFill="1" applyAlignment="1">
      <alignment horizontal="right"/>
    </xf>
    <xf numFmtId="166" fontId="6" fillId="0" borderId="0" xfId="0" quotePrefix="1" applyNumberFormat="1" applyFont="1" applyFill="1" applyAlignment="1">
      <alignment horizontal="right"/>
    </xf>
    <xf numFmtId="3" fontId="6" fillId="0" borderId="0" xfId="0" applyNumberFormat="1" applyFont="1" applyAlignment="1">
      <alignment horizontal="left"/>
    </xf>
    <xf numFmtId="4" fontId="9" fillId="0" borderId="0" xfId="0" applyNumberFormat="1" applyFont="1" applyFill="1" applyAlignment="1">
      <alignment horizontal="right"/>
    </xf>
    <xf numFmtId="4" fontId="9" fillId="0" borderId="0" xfId="0" applyNumberFormat="1" applyFont="1" applyAlignment="1">
      <alignment horizontal="right"/>
    </xf>
    <xf numFmtId="166" fontId="9" fillId="0" borderId="0" xfId="0" applyNumberFormat="1" applyFont="1" applyFill="1" applyAlignment="1">
      <alignment horizontal="right"/>
    </xf>
    <xf numFmtId="166" fontId="9" fillId="0" borderId="0" xfId="0" applyNumberFormat="1" applyFont="1" applyAlignment="1">
      <alignment horizontal="right"/>
    </xf>
    <xf numFmtId="166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165" fontId="0" fillId="0" borderId="1" xfId="0" applyNumberFormat="1" applyBorder="1" applyAlignment="1">
      <alignment horizontal="right"/>
    </xf>
    <xf numFmtId="165" fontId="7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167" fontId="9" fillId="3" borderId="0" xfId="7" applyNumberFormat="1" applyFont="1" applyFill="1"/>
    <xf numFmtId="167" fontId="9" fillId="0" borderId="0" xfId="7" applyNumberFormat="1" applyFont="1" applyFill="1"/>
    <xf numFmtId="167" fontId="9" fillId="4" borderId="0" xfId="7" applyNumberFormat="1" applyFont="1" applyFill="1"/>
    <xf numFmtId="167" fontId="9" fillId="0" borderId="0" xfId="7" applyNumberFormat="1" applyFont="1"/>
    <xf numFmtId="3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right"/>
    </xf>
    <xf numFmtId="166" fontId="7" fillId="0" borderId="0" xfId="0" applyNumberFormat="1" applyFont="1" applyBorder="1" applyAlignment="1">
      <alignment horizontal="right" wrapText="1"/>
    </xf>
    <xf numFmtId="166" fontId="7" fillId="0" borderId="0" xfId="0" applyNumberFormat="1" applyFont="1" applyFill="1" applyBorder="1" applyAlignment="1">
      <alignment horizontal="right"/>
    </xf>
    <xf numFmtId="166" fontId="6" fillId="0" borderId="0" xfId="0" applyNumberFormat="1" applyFont="1" applyBorder="1" applyAlignment="1">
      <alignment horizontal="right" wrapText="1"/>
    </xf>
    <xf numFmtId="2" fontId="9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2" fontId="0" fillId="0" borderId="0" xfId="0" applyNumberFormat="1" applyFont="1" applyAlignment="1">
      <alignment horizontal="right"/>
    </xf>
    <xf numFmtId="166" fontId="0" fillId="0" borderId="0" xfId="0" applyNumberFormat="1" applyAlignment="1"/>
    <xf numFmtId="0" fontId="1" fillId="0" borderId="0" xfId="0" applyFont="1" applyAlignment="1"/>
    <xf numFmtId="166" fontId="1" fillId="0" borderId="2" xfId="0" applyNumberFormat="1" applyFont="1" applyBorder="1" applyAlignment="1"/>
    <xf numFmtId="166" fontId="1" fillId="0" borderId="0" xfId="0" applyNumberFormat="1" applyFont="1" applyAlignment="1"/>
    <xf numFmtId="165" fontId="0" fillId="0" borderId="0" xfId="0" applyNumberFormat="1" applyAlignment="1"/>
    <xf numFmtId="166" fontId="0" fillId="0" borderId="0" xfId="0" applyNumberFormat="1" applyBorder="1" applyAlignment="1">
      <alignment horizontal="right"/>
    </xf>
    <xf numFmtId="4" fontId="0" fillId="0" borderId="0" xfId="0" applyNumberFormat="1" applyAlignment="1"/>
  </cellXfs>
  <cellStyles count="8">
    <cellStyle name="Normal" xfId="0" builtinId="0"/>
    <cellStyle name="Normal 4" xfId="7" xr:uid="{730D49A2-01D9-493D-A819-737D70D2093E}"/>
    <cellStyle name="Subheading" xfId="2" xr:uid="{00000000-0005-0000-0000-000001000000}"/>
    <cellStyle name="tableheading" xfId="1" xr:uid="{00000000-0005-0000-0000-000002000000}"/>
    <cellStyle name="th" xfId="5" xr:uid="{00000000-0005-0000-0000-000003000000}"/>
    <cellStyle name="th-left" xfId="3" xr:uid="{00000000-0005-0000-0000-000004000000}"/>
    <cellStyle name="tr-sum" xfId="4" xr:uid="{00000000-0005-0000-0000-000005000000}"/>
    <cellStyle name="Tusental 4" xfId="6" xr:uid="{5236E9D4-8819-417C-ACD2-B9D7D15950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1"/>
  <sheetViews>
    <sheetView showGridLines="0" zoomScale="80" zoomScaleNormal="8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7" sqref="B7"/>
    </sheetView>
  </sheetViews>
  <sheetFormatPr defaultColWidth="9.1796875" defaultRowHeight="14.5" x14ac:dyDescent="0.35"/>
  <cols>
    <col min="1" max="1" width="57.7265625" style="5" bestFit="1" customWidth="1"/>
    <col min="2" max="2" width="9.1796875" style="5" customWidth="1"/>
    <col min="3" max="3" width="9.1796875" style="39" customWidth="1"/>
    <col min="4" max="6" width="9.1796875" style="39"/>
    <col min="7" max="16384" width="9.1796875" style="5"/>
  </cols>
  <sheetData>
    <row r="1" spans="1:6" ht="23.5" x14ac:dyDescent="0.55000000000000004">
      <c r="A1" s="27" t="s">
        <v>68</v>
      </c>
      <c r="B1" s="27"/>
      <c r="C1" s="84"/>
    </row>
    <row r="2" spans="1:6" x14ac:dyDescent="0.35">
      <c r="A2" s="28" t="s">
        <v>0</v>
      </c>
      <c r="B2" s="15">
        <v>2022</v>
      </c>
      <c r="C2" s="52" t="s">
        <v>206</v>
      </c>
      <c r="D2" s="52" t="s">
        <v>188</v>
      </c>
      <c r="E2" s="52" t="s">
        <v>73</v>
      </c>
      <c r="F2" s="52" t="s">
        <v>1</v>
      </c>
    </row>
    <row r="3" spans="1:6" x14ac:dyDescent="0.35">
      <c r="A3" s="29" t="s">
        <v>3</v>
      </c>
      <c r="B3" s="6">
        <v>1925.6</v>
      </c>
      <c r="C3" s="85">
        <v>1824.8</v>
      </c>
      <c r="D3" s="41">
        <f>1536.79+0.04</f>
        <v>1536.83</v>
      </c>
      <c r="E3" s="41">
        <v>1313.5</v>
      </c>
      <c r="F3" s="41">
        <v>1138.0999999999999</v>
      </c>
    </row>
    <row r="4" spans="1:6" x14ac:dyDescent="0.35">
      <c r="A4" s="29" t="s">
        <v>4</v>
      </c>
      <c r="B4" s="6">
        <v>-1214.8</v>
      </c>
      <c r="C4" s="85">
        <v>-1121.4000000000001</v>
      </c>
      <c r="D4" s="41">
        <v>-984.1</v>
      </c>
      <c r="E4" s="41">
        <v>-865.6</v>
      </c>
      <c r="F4" s="41">
        <v>-759.8</v>
      </c>
    </row>
    <row r="5" spans="1:6" x14ac:dyDescent="0.35">
      <c r="A5" s="30" t="s">
        <v>5</v>
      </c>
      <c r="B5" s="19">
        <v>710.8</v>
      </c>
      <c r="C5" s="86">
        <v>703.5</v>
      </c>
      <c r="D5" s="42">
        <f>SUM(D3:D4)</f>
        <v>552.7299999999999</v>
      </c>
      <c r="E5" s="42">
        <f>SUM(E3:E4)</f>
        <v>447.9</v>
      </c>
      <c r="F5" s="42">
        <f>SUM(F3:F4)</f>
        <v>378.29999999999995</v>
      </c>
    </row>
    <row r="6" spans="1:6" x14ac:dyDescent="0.35">
      <c r="A6" s="29"/>
      <c r="B6" s="6"/>
      <c r="C6" s="85"/>
      <c r="D6" s="41"/>
      <c r="E6" s="41"/>
      <c r="F6" s="41"/>
    </row>
    <row r="7" spans="1:6" x14ac:dyDescent="0.35">
      <c r="A7" s="29" t="s">
        <v>6</v>
      </c>
      <c r="B7" s="6">
        <f>-317.4-83.9-35.4+0.1</f>
        <v>-436.59999999999991</v>
      </c>
      <c r="C7" s="85">
        <v>-367.5</v>
      </c>
      <c r="D7" s="41">
        <f>-359.2+10.952</f>
        <v>-348.24799999999999</v>
      </c>
      <c r="E7" s="41">
        <f>-251.54-84.8+7.365</f>
        <v>-328.97499999999997</v>
      </c>
      <c r="F7" s="41">
        <f>-230.3-77.4</f>
        <v>-307.70000000000005</v>
      </c>
    </row>
    <row r="8" spans="1:6" x14ac:dyDescent="0.35">
      <c r="A8" s="68" t="s">
        <v>7</v>
      </c>
      <c r="B8" s="70">
        <f>21.8-14.7</f>
        <v>7.1000000000000014</v>
      </c>
      <c r="C8" s="87">
        <v>2.9</v>
      </c>
      <c r="D8" s="69">
        <v>4</v>
      </c>
      <c r="E8" s="69">
        <f>5.7-0.04</f>
        <v>5.66</v>
      </c>
      <c r="F8" s="69">
        <v>10.7</v>
      </c>
    </row>
    <row r="9" spans="1:6" s="39" customFormat="1" x14ac:dyDescent="0.35">
      <c r="A9" s="76" t="s">
        <v>195</v>
      </c>
      <c r="B9" s="43">
        <v>281.2</v>
      </c>
      <c r="C9" s="88">
        <v>338.9</v>
      </c>
      <c r="D9" s="43">
        <f>D5+D7+D8</f>
        <v>208.48199999999991</v>
      </c>
      <c r="E9" s="43">
        <f>E5+E7+E8</f>
        <v>124.58500000000001</v>
      </c>
      <c r="F9" s="43">
        <f>F5+F7+F8</f>
        <v>81.299999999999912</v>
      </c>
    </row>
    <row r="10" spans="1:6" x14ac:dyDescent="0.35">
      <c r="A10" s="29"/>
      <c r="B10" s="6"/>
      <c r="C10" s="85"/>
      <c r="D10" s="41"/>
      <c r="E10" s="41"/>
      <c r="F10" s="41"/>
    </row>
    <row r="11" spans="1:6" x14ac:dyDescent="0.35">
      <c r="A11" s="77" t="s">
        <v>196</v>
      </c>
      <c r="B11" s="41">
        <v>-23.9</v>
      </c>
      <c r="C11" s="85">
        <v>-20.6</v>
      </c>
      <c r="D11" s="41">
        <v>-10.952</v>
      </c>
      <c r="E11" s="41">
        <v>-7.3650000000000002</v>
      </c>
      <c r="F11" s="82">
        <v>0</v>
      </c>
    </row>
    <row r="12" spans="1:6" x14ac:dyDescent="0.35">
      <c r="A12" s="78" t="s">
        <v>8</v>
      </c>
      <c r="B12" s="42">
        <v>257.3</v>
      </c>
      <c r="C12" s="86">
        <v>318.3</v>
      </c>
      <c r="D12" s="42">
        <f>D9+D11</f>
        <v>197.52999999999992</v>
      </c>
      <c r="E12" s="42">
        <f t="shared" ref="E12:F12" si="0">E9+E11</f>
        <v>117.22000000000001</v>
      </c>
      <c r="F12" s="42">
        <f t="shared" si="0"/>
        <v>81.299999999999912</v>
      </c>
    </row>
    <row r="13" spans="1:6" x14ac:dyDescent="0.35">
      <c r="A13" s="29" t="s">
        <v>9</v>
      </c>
      <c r="B13" s="6">
        <v>-5.7</v>
      </c>
      <c r="C13" s="85">
        <v>-10.4</v>
      </c>
      <c r="D13" s="41">
        <f>-65.406+0.04</f>
        <v>-65.366</v>
      </c>
      <c r="E13" s="41">
        <v>-2.74</v>
      </c>
      <c r="F13" s="41">
        <v>-2.5</v>
      </c>
    </row>
    <row r="14" spans="1:6" x14ac:dyDescent="0.35">
      <c r="A14" s="30" t="s">
        <v>10</v>
      </c>
      <c r="B14" s="19">
        <v>251.6</v>
      </c>
      <c r="C14" s="86">
        <v>307.89999999999998</v>
      </c>
      <c r="D14" s="42">
        <f>SUM(D12:D13)</f>
        <v>132.16399999999993</v>
      </c>
      <c r="E14" s="42">
        <f>SUM(E12:E13)</f>
        <v>114.48000000000002</v>
      </c>
      <c r="F14" s="42">
        <f>SUM(F12:F13)</f>
        <v>78.799999999999912</v>
      </c>
    </row>
    <row r="15" spans="1:6" x14ac:dyDescent="0.35">
      <c r="A15" s="31"/>
      <c r="B15" s="17"/>
      <c r="C15" s="88"/>
      <c r="D15" s="43"/>
      <c r="E15" s="43"/>
      <c r="F15" s="43"/>
    </row>
    <row r="16" spans="1:6" x14ac:dyDescent="0.35">
      <c r="A16" s="29" t="s">
        <v>11</v>
      </c>
      <c r="B16" s="6">
        <v>-58.1</v>
      </c>
      <c r="C16" s="85">
        <v>-70.7</v>
      </c>
      <c r="D16" s="41">
        <v>-45.564</v>
      </c>
      <c r="E16" s="41">
        <v>-27.44</v>
      </c>
      <c r="F16" s="41">
        <v>-16.600000000000001</v>
      </c>
    </row>
    <row r="17" spans="1:6" x14ac:dyDescent="0.35">
      <c r="A17" s="30" t="s">
        <v>12</v>
      </c>
      <c r="B17" s="19">
        <v>193.4</v>
      </c>
      <c r="C17" s="86">
        <v>237.3</v>
      </c>
      <c r="D17" s="42">
        <f>SUM(D14:D16)</f>
        <v>86.599999999999937</v>
      </c>
      <c r="E17" s="42">
        <f>SUM(E14:E16)</f>
        <v>87.04000000000002</v>
      </c>
      <c r="F17" s="42">
        <f>SUM(F14:F16)</f>
        <v>62.19999999999991</v>
      </c>
    </row>
    <row r="18" spans="1:6" x14ac:dyDescent="0.35">
      <c r="A18" s="31"/>
      <c r="B18" s="17"/>
      <c r="C18" s="88"/>
      <c r="D18" s="43"/>
      <c r="E18" s="43"/>
      <c r="F18" s="43"/>
    </row>
    <row r="19" spans="1:6" x14ac:dyDescent="0.35">
      <c r="A19" s="31" t="s">
        <v>13</v>
      </c>
      <c r="B19" s="17"/>
      <c r="C19" s="85"/>
      <c r="D19" s="41"/>
      <c r="E19" s="41"/>
      <c r="F19" s="41"/>
    </row>
    <row r="20" spans="1:6" x14ac:dyDescent="0.35">
      <c r="A20" s="31" t="s">
        <v>14</v>
      </c>
      <c r="B20" s="17"/>
      <c r="C20" s="85"/>
      <c r="D20" s="41"/>
      <c r="E20" s="41"/>
      <c r="F20" s="41"/>
    </row>
    <row r="21" spans="1:6" x14ac:dyDescent="0.35">
      <c r="A21" s="29" t="s">
        <v>15</v>
      </c>
      <c r="B21" s="6">
        <v>68.8</v>
      </c>
      <c r="C21" s="85">
        <v>-6.7</v>
      </c>
      <c r="D21" s="41">
        <v>-2.8690000000000002</v>
      </c>
      <c r="E21" s="41">
        <v>-27.2</v>
      </c>
      <c r="F21" s="41">
        <v>-3.1</v>
      </c>
    </row>
    <row r="22" spans="1:6" x14ac:dyDescent="0.35">
      <c r="A22" s="29" t="s">
        <v>16</v>
      </c>
      <c r="B22" s="6">
        <v>-14.2</v>
      </c>
      <c r="C22" s="85">
        <v>1.4</v>
      </c>
      <c r="D22" s="41">
        <v>0.56299999999999994</v>
      </c>
      <c r="E22" s="41">
        <v>5.4</v>
      </c>
      <c r="F22" s="41">
        <v>0.5</v>
      </c>
    </row>
    <row r="23" spans="1:6" x14ac:dyDescent="0.35">
      <c r="A23" s="31" t="s">
        <v>17</v>
      </c>
      <c r="B23" s="17"/>
      <c r="C23" s="85" t="s">
        <v>209</v>
      </c>
      <c r="D23" s="41"/>
      <c r="E23" s="41"/>
      <c r="F23" s="41"/>
    </row>
    <row r="24" spans="1:6" x14ac:dyDescent="0.35">
      <c r="A24" s="29" t="s">
        <v>18</v>
      </c>
      <c r="B24" s="6">
        <v>54.9</v>
      </c>
      <c r="C24" s="85">
        <v>17.8</v>
      </c>
      <c r="D24" s="41">
        <v>-18.692</v>
      </c>
      <c r="E24" s="41">
        <v>-6.7</v>
      </c>
      <c r="F24" s="41">
        <v>5.4</v>
      </c>
    </row>
    <row r="25" spans="1:6" x14ac:dyDescent="0.35">
      <c r="A25" s="29" t="s">
        <v>19</v>
      </c>
      <c r="B25" s="6">
        <v>-5.3</v>
      </c>
      <c r="C25" s="85">
        <v>1.9</v>
      </c>
      <c r="D25" s="41">
        <v>2.2999999999999998</v>
      </c>
      <c r="E25" s="41">
        <v>1.3</v>
      </c>
      <c r="F25" s="41">
        <v>-3.8</v>
      </c>
    </row>
    <row r="26" spans="1:6" x14ac:dyDescent="0.35">
      <c r="A26" s="29" t="s">
        <v>16</v>
      </c>
      <c r="B26" s="6">
        <v>1.1000000000000001</v>
      </c>
      <c r="C26" s="85">
        <v>-0.4</v>
      </c>
      <c r="D26" s="41">
        <v>-0.51900000000000002</v>
      </c>
      <c r="E26" s="41">
        <v>-0.26</v>
      </c>
      <c r="F26" s="41">
        <v>0.8</v>
      </c>
    </row>
    <row r="27" spans="1:6" x14ac:dyDescent="0.35">
      <c r="A27" s="30" t="s">
        <v>20</v>
      </c>
      <c r="B27" s="19">
        <v>298.7</v>
      </c>
      <c r="C27" s="86">
        <v>251.3</v>
      </c>
      <c r="D27" s="42">
        <f t="shared" ref="D27" si="1">SUM(D17:D26)</f>
        <v>67.382999999999939</v>
      </c>
      <c r="E27" s="42">
        <f t="shared" ref="E27:F27" si="2">SUM(E17:E26)</f>
        <v>59.58000000000002</v>
      </c>
      <c r="F27" s="42">
        <f t="shared" si="2"/>
        <v>61.999999999999915</v>
      </c>
    </row>
    <row r="28" spans="1:6" x14ac:dyDescent="0.35">
      <c r="A28" s="31"/>
      <c r="B28" s="17"/>
      <c r="C28" s="88"/>
      <c r="D28" s="43"/>
      <c r="E28" s="43"/>
      <c r="F28" s="43"/>
    </row>
    <row r="29" spans="1:6" x14ac:dyDescent="0.35">
      <c r="A29" s="31" t="s">
        <v>21</v>
      </c>
      <c r="B29" s="17"/>
      <c r="C29" s="85"/>
      <c r="D29" s="41"/>
      <c r="E29" s="41"/>
      <c r="F29" s="41"/>
    </row>
    <row r="30" spans="1:6" x14ac:dyDescent="0.35">
      <c r="A30" s="29" t="s">
        <v>22</v>
      </c>
      <c r="B30" s="113">
        <v>4.57</v>
      </c>
      <c r="C30" s="89">
        <v>5.62</v>
      </c>
      <c r="D30" s="44">
        <v>2.08</v>
      </c>
      <c r="E30" s="44">
        <v>2.11</v>
      </c>
      <c r="F30" s="44">
        <v>1.54</v>
      </c>
    </row>
    <row r="31" spans="1:6" x14ac:dyDescent="0.35">
      <c r="A31" s="29" t="s">
        <v>235</v>
      </c>
      <c r="B31" s="85">
        <v>42.310431000000001</v>
      </c>
      <c r="C31" s="85">
        <v>14.07</v>
      </c>
      <c r="D31" s="41">
        <v>13.887</v>
      </c>
      <c r="E31" s="41">
        <v>13.741914</v>
      </c>
      <c r="F31" s="41">
        <v>13.445</v>
      </c>
    </row>
  </sheetData>
  <pageMargins left="0.7" right="0.7" top="0.75" bottom="0.75" header="0.3" footer="0.3"/>
  <pageSetup paperSize="9" orientation="portrait" r:id="rId1"/>
  <ignoredErrors>
    <ignoredError sqref="F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 tint="0.499984740745262"/>
  </sheetPr>
  <dimension ref="A1:Z27"/>
  <sheetViews>
    <sheetView workbookViewId="0">
      <pane xSplit="1" ySplit="2" topLeftCell="B13" activePane="bottomRight" state="frozen"/>
      <selection activeCell="W1" sqref="W1:X1048576"/>
      <selection pane="topRight" activeCell="W1" sqref="W1:X1048576"/>
      <selection pane="bottomLeft" activeCell="W1" sqref="W1:X1048576"/>
      <selection pane="bottomRight" activeCell="B30" sqref="B30"/>
    </sheetView>
  </sheetViews>
  <sheetFormatPr defaultRowHeight="14.5" x14ac:dyDescent="0.35"/>
  <cols>
    <col min="1" max="1" width="55.1796875" bestFit="1" customWidth="1"/>
    <col min="2" max="2" width="11.453125" style="2" customWidth="1"/>
    <col min="3" max="4" width="11.54296875" style="2" customWidth="1"/>
    <col min="5" max="17" width="11.54296875" style="45" customWidth="1"/>
    <col min="18" max="18" width="11.54296875" style="2" customWidth="1"/>
  </cols>
  <sheetData>
    <row r="1" spans="1:26" ht="23.5" x14ac:dyDescent="0.55000000000000004">
      <c r="A1" s="33" t="s">
        <v>138</v>
      </c>
      <c r="B1" s="33"/>
      <c r="C1" s="33"/>
      <c r="D1" s="33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33"/>
      <c r="S1" s="2"/>
      <c r="T1" s="2"/>
      <c r="U1" s="2"/>
      <c r="V1" s="2"/>
      <c r="W1" s="2"/>
      <c r="X1" s="2"/>
      <c r="Y1" s="2"/>
      <c r="Z1" s="2"/>
    </row>
    <row r="2" spans="1:26" ht="29" x14ac:dyDescent="0.35">
      <c r="A2" s="14" t="s">
        <v>0</v>
      </c>
      <c r="B2" s="46" t="s">
        <v>238</v>
      </c>
      <c r="C2" s="35" t="s">
        <v>234</v>
      </c>
      <c r="D2" s="46" t="s">
        <v>230</v>
      </c>
      <c r="E2" s="46" t="s">
        <v>224</v>
      </c>
      <c r="F2" s="46" t="s">
        <v>222</v>
      </c>
      <c r="G2" s="46" t="s">
        <v>208</v>
      </c>
      <c r="H2" s="46" t="s">
        <v>202</v>
      </c>
      <c r="I2" s="46" t="s">
        <v>201</v>
      </c>
      <c r="J2" s="46" t="s">
        <v>194</v>
      </c>
      <c r="K2" s="46" t="s">
        <v>191</v>
      </c>
      <c r="L2" s="46" t="s">
        <v>187</v>
      </c>
      <c r="M2" s="46" t="s">
        <v>182</v>
      </c>
      <c r="N2" s="46" t="s">
        <v>167</v>
      </c>
      <c r="O2" s="46" t="s">
        <v>171</v>
      </c>
      <c r="P2" s="46" t="s">
        <v>173</v>
      </c>
      <c r="Q2" s="46" t="s">
        <v>176</v>
      </c>
      <c r="R2" s="35" t="s">
        <v>168</v>
      </c>
      <c r="S2" s="35" t="s">
        <v>172</v>
      </c>
      <c r="T2" s="35" t="s">
        <v>174</v>
      </c>
      <c r="U2" s="35" t="s">
        <v>177</v>
      </c>
      <c r="V2" s="35" t="s">
        <v>169</v>
      </c>
      <c r="W2" s="35" t="s">
        <v>66</v>
      </c>
      <c r="X2" s="35" t="s">
        <v>175</v>
      </c>
      <c r="Y2" s="35" t="s">
        <v>178</v>
      </c>
      <c r="Z2" s="35" t="s">
        <v>170</v>
      </c>
    </row>
    <row r="3" spans="1:26" x14ac:dyDescent="0.35">
      <c r="A3" s="20" t="s">
        <v>95</v>
      </c>
      <c r="B3" s="20"/>
      <c r="C3" s="20"/>
      <c r="D3" s="20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20"/>
      <c r="S3" s="4"/>
      <c r="T3" s="4"/>
      <c r="U3" s="4"/>
      <c r="V3" s="4"/>
      <c r="W3" s="4"/>
      <c r="X3" s="4"/>
      <c r="Y3" s="4"/>
      <c r="Z3" s="4"/>
    </row>
    <row r="4" spans="1:26" s="2" customFormat="1" x14ac:dyDescent="0.35">
      <c r="A4" s="10"/>
      <c r="B4" s="10"/>
      <c r="C4" s="10"/>
      <c r="D4" s="10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10"/>
      <c r="S4" s="4"/>
      <c r="T4" s="4"/>
      <c r="U4" s="4"/>
      <c r="V4" s="4"/>
      <c r="W4" s="4"/>
      <c r="X4" s="4"/>
      <c r="Y4" s="4"/>
      <c r="Z4" s="4"/>
    </row>
    <row r="5" spans="1:26" x14ac:dyDescent="0.35">
      <c r="A5" s="20" t="s">
        <v>96</v>
      </c>
      <c r="B5" s="20"/>
      <c r="C5" s="20"/>
      <c r="D5" s="20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20"/>
      <c r="S5" s="4"/>
      <c r="T5" s="4"/>
      <c r="U5" s="4"/>
      <c r="V5" s="4"/>
      <c r="W5" s="4"/>
      <c r="X5" s="4"/>
      <c r="Y5" s="4"/>
      <c r="Z5" s="4"/>
    </row>
    <row r="6" spans="1:26" x14ac:dyDescent="0.35">
      <c r="A6" s="9" t="s">
        <v>97</v>
      </c>
      <c r="B6" s="6">
        <f>'Balansräkning-3M'!B6</f>
        <v>554.79999999999995</v>
      </c>
      <c r="C6" s="6">
        <f>+'Balansräkning-3M'!C6</f>
        <v>554.5</v>
      </c>
      <c r="D6" s="85">
        <f>+'Balansräkning-3M'!D6</f>
        <v>539.70000000000005</v>
      </c>
      <c r="E6" s="85">
        <f>+'Balansräkning-3M'!E6</f>
        <v>538.79999999999995</v>
      </c>
      <c r="F6" s="85">
        <f>+'Balansräkning-3M'!F6</f>
        <v>532.5</v>
      </c>
      <c r="G6" s="85">
        <v>534.90000000000009</v>
      </c>
      <c r="H6" s="41">
        <f>268.2+264.6</f>
        <v>532.79999999999995</v>
      </c>
      <c r="I6" s="41">
        <v>535.59999999999991</v>
      </c>
      <c r="J6" s="41">
        <v>544.17999999999995</v>
      </c>
      <c r="K6" s="41">
        <v>364.00299999999999</v>
      </c>
      <c r="L6" s="41">
        <f>222.8+157.8</f>
        <v>380.6</v>
      </c>
      <c r="M6" s="41">
        <v>383.7</v>
      </c>
      <c r="N6" s="41">
        <f>229.4+173.6</f>
        <v>403</v>
      </c>
      <c r="O6" s="41">
        <f>221.4+170.3</f>
        <v>391.70000000000005</v>
      </c>
      <c r="P6" s="41">
        <f>225+178.64</f>
        <v>403.64</v>
      </c>
      <c r="Q6" s="41">
        <f>223+181.7-0.04</f>
        <v>404.65999999999997</v>
      </c>
      <c r="R6" s="6">
        <v>204.2</v>
      </c>
      <c r="S6" s="6">
        <v>206.76000000000002</v>
      </c>
      <c r="T6" s="6">
        <f>119.3+89.8</f>
        <v>209.1</v>
      </c>
      <c r="U6" s="6">
        <f>119.6+93.8</f>
        <v>213.39999999999998</v>
      </c>
      <c r="V6" s="6">
        <v>212.4</v>
      </c>
      <c r="W6" s="6">
        <f>118.2+93.3</f>
        <v>211.5</v>
      </c>
      <c r="X6" s="6">
        <f>117.5+92.5</f>
        <v>210</v>
      </c>
      <c r="Y6" s="6">
        <f>117.8+92.7-0.04</f>
        <v>210.46</v>
      </c>
      <c r="Z6" s="6">
        <f>117.4+92.9</f>
        <v>210.3</v>
      </c>
    </row>
    <row r="7" spans="1:26" x14ac:dyDescent="0.35">
      <c r="A7" s="9" t="s">
        <v>98</v>
      </c>
      <c r="B7" s="6">
        <f>'Balansräkning-3M'!B7</f>
        <v>174.2</v>
      </c>
      <c r="C7" s="6">
        <f>+'Balansräkning-3M'!C7</f>
        <v>166.7</v>
      </c>
      <c r="D7" s="85">
        <f>+'Balansräkning-3M'!D7</f>
        <v>157.6</v>
      </c>
      <c r="E7" s="85">
        <f>+'Balansräkning-3M'!E7</f>
        <v>150</v>
      </c>
      <c r="F7" s="85">
        <f>+'Balansräkning-3M'!F7</f>
        <v>143.9</v>
      </c>
      <c r="G7" s="85">
        <v>138.5</v>
      </c>
      <c r="H7" s="41">
        <v>138.30000000000001</v>
      </c>
      <c r="I7" s="41">
        <v>137.9</v>
      </c>
      <c r="J7" s="41">
        <v>137.422</v>
      </c>
      <c r="K7" s="41">
        <v>135.30000000000001</v>
      </c>
      <c r="L7" s="41">
        <v>131.1</v>
      </c>
      <c r="M7" s="41">
        <v>128.80000000000001</v>
      </c>
      <c r="N7" s="41">
        <v>130.6</v>
      </c>
      <c r="O7" s="41">
        <v>128.4</v>
      </c>
      <c r="P7" s="41">
        <v>132.84</v>
      </c>
      <c r="Q7" s="41">
        <f>132.7-0.04</f>
        <v>132.66</v>
      </c>
      <c r="R7" s="6">
        <v>122.6</v>
      </c>
      <c r="S7" s="6">
        <v>131.76000000000002</v>
      </c>
      <c r="T7" s="6">
        <v>136.69999999999999</v>
      </c>
      <c r="U7" s="6">
        <v>142.19999999999999</v>
      </c>
      <c r="V7" s="6">
        <v>147.93899999999999</v>
      </c>
      <c r="W7" s="6">
        <v>152.5</v>
      </c>
      <c r="X7" s="6">
        <v>157</v>
      </c>
      <c r="Y7" s="6">
        <f>159.9-0.04</f>
        <v>159.86000000000001</v>
      </c>
      <c r="Z7" s="6">
        <v>159.80000000000001</v>
      </c>
    </row>
    <row r="8" spans="1:26" s="2" customFormat="1" x14ac:dyDescent="0.35">
      <c r="A8" s="9" t="s">
        <v>114</v>
      </c>
      <c r="B8" s="6">
        <f>'Balansräkning-3M'!B8</f>
        <v>92.9</v>
      </c>
      <c r="C8" s="6">
        <f>+'Balansräkning-3M'!C8</f>
        <v>88.7</v>
      </c>
      <c r="D8" s="85">
        <f>+'Balansräkning-3M'!D8</f>
        <v>41.7</v>
      </c>
      <c r="E8" s="85">
        <f>+'Balansräkning-3M'!E8</f>
        <v>47.2</v>
      </c>
      <c r="F8" s="85">
        <f>+'Balansräkning-3M'!F8</f>
        <v>43</v>
      </c>
      <c r="G8" s="85">
        <v>43.6</v>
      </c>
      <c r="H8" s="41">
        <v>46.9</v>
      </c>
      <c r="I8" s="41">
        <v>47.6</v>
      </c>
      <c r="J8" s="41">
        <v>51.1</v>
      </c>
      <c r="K8" s="41">
        <v>47.823999999999998</v>
      </c>
      <c r="L8" s="41">
        <v>37</v>
      </c>
      <c r="M8" s="41">
        <v>39.799999999999997</v>
      </c>
      <c r="N8" s="41">
        <v>44</v>
      </c>
      <c r="O8" s="41">
        <v>46.9</v>
      </c>
      <c r="P8" s="41">
        <v>59.5</v>
      </c>
      <c r="Q8" s="41">
        <v>63.3</v>
      </c>
      <c r="R8" s="6">
        <v>52.9</v>
      </c>
      <c r="S8" s="62" t="s">
        <v>43</v>
      </c>
      <c r="T8" s="62" t="s">
        <v>43</v>
      </c>
      <c r="U8" s="62" t="s">
        <v>43</v>
      </c>
      <c r="V8" s="62" t="s">
        <v>43</v>
      </c>
      <c r="W8" s="62" t="s">
        <v>43</v>
      </c>
      <c r="X8" s="62" t="s">
        <v>43</v>
      </c>
      <c r="Y8" s="62" t="s">
        <v>43</v>
      </c>
      <c r="Z8" s="62" t="s">
        <v>43</v>
      </c>
    </row>
    <row r="9" spans="1:26" x14ac:dyDescent="0.35">
      <c r="A9" s="9" t="s">
        <v>99</v>
      </c>
      <c r="B9" s="6">
        <f>'Balansräkning-3M'!B9</f>
        <v>4.0999999999999996</v>
      </c>
      <c r="C9" s="6">
        <f>+'Balansräkning-3M'!C9</f>
        <v>4.0999999999999996</v>
      </c>
      <c r="D9" s="6">
        <f>+'Balansräkning-3M'!D9</f>
        <v>4.2</v>
      </c>
      <c r="E9" s="85">
        <f>+'Balansräkning-3M'!E9</f>
        <v>4.0999999999999996</v>
      </c>
      <c r="F9" s="85">
        <f>+'Balansräkning-3M'!F9</f>
        <v>4</v>
      </c>
      <c r="G9" s="85">
        <v>4</v>
      </c>
      <c r="H9" s="41">
        <v>3.7</v>
      </c>
      <c r="I9" s="41">
        <v>3.5019999999999998</v>
      </c>
      <c r="J9" s="41">
        <v>3.5019999999999998</v>
      </c>
      <c r="K9" s="41">
        <v>4.4779999999999998</v>
      </c>
      <c r="L9" s="41">
        <v>5</v>
      </c>
      <c r="M9" s="41">
        <v>4.6399999999999997</v>
      </c>
      <c r="N9" s="41">
        <v>4.8</v>
      </c>
      <c r="O9" s="41">
        <v>3.4</v>
      </c>
      <c r="P9" s="41">
        <v>15.1</v>
      </c>
      <c r="Q9" s="41">
        <v>3.9</v>
      </c>
      <c r="R9" s="6">
        <v>3.8</v>
      </c>
      <c r="S9" s="6">
        <v>3.8</v>
      </c>
      <c r="T9" s="6">
        <v>4.2</v>
      </c>
      <c r="U9" s="6">
        <v>4.1529999999999996</v>
      </c>
      <c r="V9" s="6">
        <v>4.1529999999999996</v>
      </c>
      <c r="W9" s="6">
        <v>4.0999999999999996</v>
      </c>
      <c r="X9" s="6">
        <v>4.4000000000000004</v>
      </c>
      <c r="Y9" s="6">
        <v>4.5</v>
      </c>
      <c r="Z9" s="6">
        <v>4.4000000000000004</v>
      </c>
    </row>
    <row r="10" spans="1:26" x14ac:dyDescent="0.35">
      <c r="A10" s="9" t="s">
        <v>100</v>
      </c>
      <c r="B10" s="6">
        <f>'Balansräkning-3M'!B10</f>
        <v>4.3</v>
      </c>
      <c r="C10" s="6">
        <f>+'Balansräkning-3M'!C10</f>
        <v>7.6</v>
      </c>
      <c r="D10" s="6">
        <f>+'Balansräkning-3M'!D10</f>
        <v>10.4</v>
      </c>
      <c r="E10" s="85">
        <f>+'Balansräkning-3M'!E10</f>
        <v>17.100000000000001</v>
      </c>
      <c r="F10" s="85">
        <f>+'Balansräkning-3M'!F10</f>
        <v>24.1</v>
      </c>
      <c r="G10" s="85">
        <v>25</v>
      </c>
      <c r="H10" s="41">
        <v>22.9</v>
      </c>
      <c r="I10" s="41">
        <v>23</v>
      </c>
      <c r="J10" s="41">
        <v>24.896999999999998</v>
      </c>
      <c r="K10" s="41">
        <v>26.672999999999998</v>
      </c>
      <c r="L10" s="41">
        <v>26.6</v>
      </c>
      <c r="M10" s="41">
        <v>26.84</v>
      </c>
      <c r="N10" s="41">
        <v>28.3</v>
      </c>
      <c r="O10" s="41">
        <v>27.6</v>
      </c>
      <c r="P10" s="41">
        <v>27.3</v>
      </c>
      <c r="Q10" s="41">
        <v>25.9</v>
      </c>
      <c r="R10" s="6">
        <v>22.7</v>
      </c>
      <c r="S10" s="6">
        <v>25.1</v>
      </c>
      <c r="T10" s="6">
        <v>23</v>
      </c>
      <c r="U10" s="6">
        <v>24.3</v>
      </c>
      <c r="V10" s="6">
        <v>24.100999999999999</v>
      </c>
      <c r="W10" s="6">
        <v>23.7</v>
      </c>
      <c r="X10" s="6">
        <v>23.5</v>
      </c>
      <c r="Y10" s="6">
        <v>19.3</v>
      </c>
      <c r="Z10" s="6">
        <v>18.600000000000001</v>
      </c>
    </row>
    <row r="11" spans="1:26" x14ac:dyDescent="0.35">
      <c r="A11" s="18" t="s">
        <v>101</v>
      </c>
      <c r="B11" s="19">
        <f>'Balansräkning-3M'!B11</f>
        <v>830.19999999999993</v>
      </c>
      <c r="C11" s="19">
        <f>+'Balansräkning-3M'!C11</f>
        <v>821.60000000000014</v>
      </c>
      <c r="D11" s="19">
        <f>+'Balansräkning-3M'!D11</f>
        <v>753.5</v>
      </c>
      <c r="E11" s="86">
        <f>+'Balansräkning-3M'!E11</f>
        <v>757.1</v>
      </c>
      <c r="F11" s="86">
        <f>+'Balansräkning-3M'!F11</f>
        <v>747.4</v>
      </c>
      <c r="G11" s="86">
        <v>746</v>
      </c>
      <c r="H11" s="42">
        <f>SUM(H6:H10)</f>
        <v>744.59999999999991</v>
      </c>
      <c r="I11" s="42">
        <f>SUM(I6:I10)</f>
        <v>747.60199999999986</v>
      </c>
      <c r="J11" s="42">
        <v>761.101</v>
      </c>
      <c r="K11" s="42">
        <v>578.27799999999991</v>
      </c>
      <c r="L11" s="42">
        <f t="shared" ref="L11" si="0">SUM(L6:L10)</f>
        <v>580.30000000000007</v>
      </c>
      <c r="M11" s="42">
        <v>583.78</v>
      </c>
      <c r="N11" s="42">
        <f>SUM(N6:N10)</f>
        <v>610.69999999999993</v>
      </c>
      <c r="O11" s="42">
        <f>SUM(O6:O10)</f>
        <v>598</v>
      </c>
      <c r="P11" s="42">
        <f>SUM(P6:P10)</f>
        <v>638.38</v>
      </c>
      <c r="Q11" s="42">
        <f>SUM(Q6:Q10)</f>
        <v>630.41999999999985</v>
      </c>
      <c r="R11" s="19">
        <f>SUM(R6:R10)</f>
        <v>406.19999999999993</v>
      </c>
      <c r="S11" s="19">
        <v>367.42000000000007</v>
      </c>
      <c r="T11" s="19">
        <f t="shared" ref="T11:Z11" si="1">SUM(T6:T10)</f>
        <v>372.99999999999994</v>
      </c>
      <c r="U11" s="19">
        <f t="shared" si="1"/>
        <v>384.053</v>
      </c>
      <c r="V11" s="19">
        <f t="shared" si="1"/>
        <v>388.59300000000002</v>
      </c>
      <c r="W11" s="19">
        <f t="shared" si="1"/>
        <v>391.8</v>
      </c>
      <c r="X11" s="19">
        <f t="shared" si="1"/>
        <v>394.9</v>
      </c>
      <c r="Y11" s="19">
        <f t="shared" si="1"/>
        <v>394.12000000000006</v>
      </c>
      <c r="Z11" s="19">
        <f t="shared" si="1"/>
        <v>393.1</v>
      </c>
    </row>
    <row r="12" spans="1:26" s="2" customFormat="1" x14ac:dyDescent="0.35">
      <c r="A12" s="9"/>
      <c r="B12" s="6"/>
      <c r="C12" s="6"/>
      <c r="D12" s="6"/>
      <c r="E12" s="88"/>
      <c r="F12" s="88"/>
      <c r="G12" s="88"/>
      <c r="H12" s="43"/>
      <c r="I12" s="43"/>
      <c r="J12" s="43"/>
      <c r="K12" s="43"/>
      <c r="L12" s="41"/>
      <c r="M12" s="41"/>
      <c r="N12" s="41"/>
      <c r="O12" s="41"/>
      <c r="P12" s="41"/>
      <c r="Q12" s="41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35">
      <c r="A13" s="20" t="s">
        <v>102</v>
      </c>
      <c r="B13" s="17"/>
      <c r="C13" s="17"/>
      <c r="D13" s="17"/>
      <c r="E13" s="85"/>
      <c r="F13" s="85"/>
      <c r="G13" s="85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35">
      <c r="A14" s="9" t="s">
        <v>103</v>
      </c>
      <c r="B14" s="6">
        <f>'Balansräkning-3M'!B14</f>
        <v>600</v>
      </c>
      <c r="C14" s="6">
        <f>+'Balansräkning-3M'!C14</f>
        <v>578.6</v>
      </c>
      <c r="D14" s="6">
        <f>+'Balansräkning-3M'!D14</f>
        <v>565.9</v>
      </c>
      <c r="E14" s="85">
        <f>+'Balansräkning-3M'!E14</f>
        <v>545.6</v>
      </c>
      <c r="F14" s="85">
        <f>+'Balansräkning-3M'!F14</f>
        <v>515</v>
      </c>
      <c r="G14" s="85">
        <v>415.4</v>
      </c>
      <c r="H14" s="41">
        <v>370.06</v>
      </c>
      <c r="I14" s="41">
        <v>350.4</v>
      </c>
      <c r="J14" s="41">
        <v>367.822</v>
      </c>
      <c r="K14" s="41">
        <v>310.74299999999999</v>
      </c>
      <c r="L14" s="41">
        <v>298.3</v>
      </c>
      <c r="M14" s="41">
        <v>300.2</v>
      </c>
      <c r="N14" s="41">
        <v>288</v>
      </c>
      <c r="O14" s="41">
        <v>287.89999999999998</v>
      </c>
      <c r="P14" s="41">
        <v>277.5</v>
      </c>
      <c r="Q14" s="41">
        <v>293.5</v>
      </c>
      <c r="R14" s="6">
        <v>229.34</v>
      </c>
      <c r="S14" s="6">
        <v>212.6</v>
      </c>
      <c r="T14" s="6">
        <v>202.8</v>
      </c>
      <c r="U14" s="6">
        <f>214.4+0.04</f>
        <v>214.44</v>
      </c>
      <c r="V14" s="6">
        <v>233.5</v>
      </c>
      <c r="W14" s="6">
        <v>203.1</v>
      </c>
      <c r="X14" s="6">
        <v>201</v>
      </c>
      <c r="Y14" s="6">
        <v>204.4</v>
      </c>
      <c r="Z14" s="6">
        <v>208.84</v>
      </c>
    </row>
    <row r="15" spans="1:26" x14ac:dyDescent="0.35">
      <c r="A15" s="9" t="s">
        <v>104</v>
      </c>
      <c r="B15" s="6">
        <f>'Balansräkning-3M'!B15</f>
        <v>372.9</v>
      </c>
      <c r="C15" s="6">
        <f>+'Balansräkning-3M'!C15</f>
        <v>328.4</v>
      </c>
      <c r="D15" s="6">
        <f>+'Balansräkning-3M'!D15</f>
        <v>326</v>
      </c>
      <c r="E15" s="85">
        <f>+'Balansräkning-3M'!E15</f>
        <v>436</v>
      </c>
      <c r="F15" s="85">
        <f>+'Balansräkning-3M'!F15</f>
        <v>362.8</v>
      </c>
      <c r="G15" s="85">
        <v>376.1</v>
      </c>
      <c r="H15" s="41">
        <v>320.36</v>
      </c>
      <c r="I15" s="41">
        <v>360.5</v>
      </c>
      <c r="J15" s="41">
        <v>337.56299999999999</v>
      </c>
      <c r="K15" s="41">
        <v>277.23399999999998</v>
      </c>
      <c r="L15" s="41">
        <v>282.8</v>
      </c>
      <c r="M15" s="41">
        <v>288.2</v>
      </c>
      <c r="N15" s="41">
        <v>315.14</v>
      </c>
      <c r="O15" s="41">
        <v>211.74</v>
      </c>
      <c r="P15" s="41">
        <v>250.8</v>
      </c>
      <c r="Q15" s="41">
        <v>277.89999999999998</v>
      </c>
      <c r="R15" s="6">
        <v>244.34</v>
      </c>
      <c r="S15" s="6">
        <v>194.7</v>
      </c>
      <c r="T15" s="6">
        <v>241.8</v>
      </c>
      <c r="U15" s="6">
        <f>246.7+0.04</f>
        <v>246.73999999999998</v>
      </c>
      <c r="V15" s="6">
        <v>243.733</v>
      </c>
      <c r="W15" s="6">
        <f>207.3</f>
        <v>207.3</v>
      </c>
      <c r="X15" s="6">
        <f>244.3</f>
        <v>244.3</v>
      </c>
      <c r="Y15" s="6">
        <f>327.6-96.45</f>
        <v>231.15000000000003</v>
      </c>
      <c r="Z15" s="6">
        <f>244.14-2.379</f>
        <v>241.761</v>
      </c>
    </row>
    <row r="16" spans="1:26" x14ac:dyDescent="0.35">
      <c r="A16" s="91" t="s">
        <v>211</v>
      </c>
      <c r="B16" s="41">
        <f>'Balansräkning-3M'!B16</f>
        <v>102.7</v>
      </c>
      <c r="C16" s="41">
        <f>+'Balansräkning-3M'!C16</f>
        <v>69.599999999999994</v>
      </c>
      <c r="D16" s="6">
        <f>+'Balansräkning-3M'!D16</f>
        <v>76.8</v>
      </c>
      <c r="E16" s="85">
        <f>+'Balansräkning-3M'!E16</f>
        <v>41.8</v>
      </c>
      <c r="F16" s="85">
        <f>+'Balansräkning-3M'!F16</f>
        <v>159.9</v>
      </c>
      <c r="G16" s="85">
        <v>193.9</v>
      </c>
      <c r="H16" s="41">
        <v>159.80000000000001</v>
      </c>
      <c r="I16" s="41">
        <v>68.3</v>
      </c>
      <c r="J16" s="41">
        <v>77.875</v>
      </c>
      <c r="K16" s="41">
        <v>203.47200000000001</v>
      </c>
      <c r="L16" s="41">
        <v>223.1</v>
      </c>
      <c r="M16" s="41">
        <v>150.36000000000001</v>
      </c>
      <c r="N16" s="41">
        <v>148.34</v>
      </c>
      <c r="O16" s="41">
        <v>131.131</v>
      </c>
      <c r="P16" s="41">
        <v>78.7</v>
      </c>
      <c r="Q16" s="41">
        <v>43</v>
      </c>
      <c r="R16" s="6">
        <v>209.6</v>
      </c>
      <c r="S16" s="6">
        <v>215.5</v>
      </c>
      <c r="T16" s="6">
        <v>174.4</v>
      </c>
      <c r="U16" s="6">
        <f>130.7+0.04</f>
        <v>130.73999999999998</v>
      </c>
      <c r="V16" s="6">
        <v>154.97499999999999</v>
      </c>
      <c r="W16" s="6">
        <v>155.97499999999999</v>
      </c>
      <c r="X16" s="6">
        <v>123.211</v>
      </c>
      <c r="Y16" s="6">
        <v>96.45</v>
      </c>
      <c r="Z16" s="6">
        <v>2.379</v>
      </c>
    </row>
    <row r="17" spans="1:26" x14ac:dyDescent="0.35">
      <c r="A17" s="18" t="s">
        <v>105</v>
      </c>
      <c r="B17" s="19">
        <f>'Balansräkning-3M'!B17</f>
        <v>1905.8999999999999</v>
      </c>
      <c r="C17" s="19">
        <f>+'Balansräkning-3M'!C17</f>
        <v>1798.2000000000003</v>
      </c>
      <c r="D17" s="19">
        <f>+'Balansräkning-3M'!D17</f>
        <v>1722.2</v>
      </c>
      <c r="E17" s="86">
        <f>+'Balansräkning-3M'!E17</f>
        <v>1780.6</v>
      </c>
      <c r="F17" s="86">
        <f>+'Balansräkning-3M'!F17</f>
        <v>1785.2</v>
      </c>
      <c r="G17" s="86">
        <v>1731.4</v>
      </c>
      <c r="H17" s="42">
        <f>H11+H14+H15+H16</f>
        <v>1594.82</v>
      </c>
      <c r="I17" s="42">
        <f>I11+I14+I15+I16</f>
        <v>1526.8019999999999</v>
      </c>
      <c r="J17" s="42">
        <v>1544.3609999999999</v>
      </c>
      <c r="K17" s="42">
        <v>1369.7269999999999</v>
      </c>
      <c r="L17" s="42">
        <f t="shared" ref="L17" si="2">SUM(L11:L16)</f>
        <v>1384.5</v>
      </c>
      <c r="M17" s="42">
        <v>1322.54</v>
      </c>
      <c r="N17" s="42">
        <f>SUM(N11:N16)</f>
        <v>1362.1799999999998</v>
      </c>
      <c r="O17" s="42">
        <f>SUM(O11:O16)</f>
        <v>1228.771</v>
      </c>
      <c r="P17" s="42">
        <f>SUM(P11:P16)</f>
        <v>1245.3800000000001</v>
      </c>
      <c r="Q17" s="42">
        <f>SUM(Q11:Q16)</f>
        <v>1244.8199999999997</v>
      </c>
      <c r="R17" s="19">
        <f>SUM(R11:R16)</f>
        <v>1089.48</v>
      </c>
      <c r="S17" s="19">
        <v>990.22000000000014</v>
      </c>
      <c r="T17" s="19">
        <f>SUM(T11:T16)</f>
        <v>991.99999999999989</v>
      </c>
      <c r="U17" s="19">
        <f t="shared" ref="U17:Z17" si="3">SUM(U11:U16)</f>
        <v>975.97299999999996</v>
      </c>
      <c r="V17" s="19">
        <f t="shared" si="3"/>
        <v>1020.801</v>
      </c>
      <c r="W17" s="19">
        <f t="shared" si="3"/>
        <v>958.17500000000007</v>
      </c>
      <c r="X17" s="19">
        <f t="shared" si="3"/>
        <v>963.41100000000006</v>
      </c>
      <c r="Y17" s="19">
        <f t="shared" si="3"/>
        <v>926.12000000000012</v>
      </c>
      <c r="Z17" s="19">
        <f t="shared" si="3"/>
        <v>846.08</v>
      </c>
    </row>
    <row r="18" spans="1:26" s="2" customFormat="1" x14ac:dyDescent="0.35">
      <c r="A18" s="9"/>
      <c r="B18" s="6"/>
      <c r="C18" s="6"/>
      <c r="D18" s="6"/>
      <c r="E18" s="85"/>
      <c r="F18" s="85"/>
      <c r="G18" s="85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35">
      <c r="A19" s="20" t="s">
        <v>106</v>
      </c>
      <c r="B19" s="17"/>
      <c r="C19" s="17"/>
      <c r="D19" s="17"/>
      <c r="E19" s="85"/>
      <c r="F19" s="85"/>
      <c r="G19" s="85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6"/>
      <c r="S19" s="6"/>
      <c r="T19" s="6"/>
      <c r="U19" s="6"/>
      <c r="V19" s="6"/>
      <c r="W19" s="6"/>
      <c r="X19" s="6"/>
      <c r="Y19" s="6"/>
      <c r="Z19" s="6"/>
    </row>
    <row r="20" spans="1:26" x14ac:dyDescent="0.35">
      <c r="A20" s="9" t="s">
        <v>113</v>
      </c>
      <c r="B20" s="6">
        <f>'Balansräkning-3M'!B20</f>
        <v>1066.3</v>
      </c>
      <c r="C20" s="6">
        <f>+'Balansräkning-3M'!C20</f>
        <v>999.8</v>
      </c>
      <c r="D20" s="6">
        <f>+'Balansräkning-3M'!D20</f>
        <v>939</v>
      </c>
      <c r="E20" s="85">
        <f>+'Balansräkning-3M'!E20</f>
        <v>876.3</v>
      </c>
      <c r="F20" s="85">
        <f>+'Balansräkning-3M'!F20</f>
        <v>878.5</v>
      </c>
      <c r="G20" s="85">
        <v>806.9</v>
      </c>
      <c r="H20" s="41">
        <v>749</v>
      </c>
      <c r="I20" s="41">
        <v>699</v>
      </c>
      <c r="J20" s="41">
        <v>690.38599999999997</v>
      </c>
      <c r="K20" s="41">
        <v>581.89300000000003</v>
      </c>
      <c r="L20" s="41">
        <v>596.20000000000005</v>
      </c>
      <c r="M20" s="41">
        <v>606.70000000000005</v>
      </c>
      <c r="N20" s="41">
        <v>627.1</v>
      </c>
      <c r="O20" s="41">
        <v>563.1</v>
      </c>
      <c r="P20" s="41">
        <v>563.9</v>
      </c>
      <c r="Q20" s="41">
        <v>544.9</v>
      </c>
      <c r="R20" s="6">
        <v>539.5</v>
      </c>
      <c r="S20" s="6">
        <v>504.94</v>
      </c>
      <c r="T20" s="6">
        <v>493.8</v>
      </c>
      <c r="U20" s="6">
        <v>475.9</v>
      </c>
      <c r="V20" s="6">
        <v>501.38299999999998</v>
      </c>
      <c r="W20" s="6">
        <v>483.2</v>
      </c>
      <c r="X20" s="6">
        <v>472.5</v>
      </c>
      <c r="Y20" s="6">
        <v>458.3</v>
      </c>
      <c r="Z20" s="6">
        <v>347.8</v>
      </c>
    </row>
    <row r="21" spans="1:26" x14ac:dyDescent="0.35">
      <c r="A21" s="18" t="s">
        <v>107</v>
      </c>
      <c r="B21" s="19">
        <f>'Balansräkning-3M'!B21</f>
        <v>1066.3</v>
      </c>
      <c r="C21" s="19">
        <f>+'Balansräkning-3M'!C21</f>
        <v>999.8</v>
      </c>
      <c r="D21" s="19">
        <f>+'Balansräkning-3M'!D21</f>
        <v>939</v>
      </c>
      <c r="E21" s="86">
        <f>+'Balansräkning-3M'!E21</f>
        <v>876.3</v>
      </c>
      <c r="F21" s="86">
        <f>+'Balansräkning-3M'!F21</f>
        <v>878.5</v>
      </c>
      <c r="G21" s="86">
        <v>806.9</v>
      </c>
      <c r="H21" s="42">
        <f>SUM(H20)</f>
        <v>749</v>
      </c>
      <c r="I21" s="42">
        <f>SUM(I20)</f>
        <v>699</v>
      </c>
      <c r="J21" s="42">
        <v>690.38599999999997</v>
      </c>
      <c r="K21" s="42">
        <v>581.89300000000003</v>
      </c>
      <c r="L21" s="42">
        <f t="shared" ref="L21" si="4">SUM(L20)</f>
        <v>596.20000000000005</v>
      </c>
      <c r="M21" s="42">
        <v>606.70000000000005</v>
      </c>
      <c r="N21" s="42">
        <f>SUM(N20)</f>
        <v>627.1</v>
      </c>
      <c r="O21" s="42">
        <f>SUM(O20)</f>
        <v>563.1</v>
      </c>
      <c r="P21" s="42">
        <f>SUM(P20)</f>
        <v>563.9</v>
      </c>
      <c r="Q21" s="42">
        <f>SUM(Q20)</f>
        <v>544.9</v>
      </c>
      <c r="R21" s="19">
        <f>SUM(R20)</f>
        <v>539.5</v>
      </c>
      <c r="S21" s="19">
        <v>504.94</v>
      </c>
      <c r="T21" s="19">
        <f>SUM(T20)</f>
        <v>493.8</v>
      </c>
      <c r="U21" s="19">
        <f>SUM(U20)</f>
        <v>475.9</v>
      </c>
      <c r="V21" s="19">
        <f t="shared" ref="V21:Z21" si="5">SUM(V20)</f>
        <v>501.38299999999998</v>
      </c>
      <c r="W21" s="19">
        <f t="shared" si="5"/>
        <v>483.2</v>
      </c>
      <c r="X21" s="19">
        <f t="shared" si="5"/>
        <v>472.5</v>
      </c>
      <c r="Y21" s="19">
        <f t="shared" si="5"/>
        <v>458.3</v>
      </c>
      <c r="Z21" s="19">
        <f t="shared" si="5"/>
        <v>347.8</v>
      </c>
    </row>
    <row r="22" spans="1:26" s="2" customFormat="1" x14ac:dyDescent="0.35">
      <c r="A22" s="9"/>
      <c r="B22" s="9"/>
      <c r="C22" s="6"/>
      <c r="D22" s="6"/>
      <c r="E22" s="85"/>
      <c r="F22" s="85"/>
      <c r="G22" s="85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6"/>
      <c r="S22" s="6"/>
      <c r="T22" s="6"/>
      <c r="U22" s="6"/>
      <c r="V22" s="6"/>
      <c r="W22" s="6"/>
      <c r="X22" s="6"/>
      <c r="Y22" s="6"/>
      <c r="Z22" s="6"/>
    </row>
    <row r="23" spans="1:26" x14ac:dyDescent="0.35">
      <c r="A23" s="20" t="s">
        <v>108</v>
      </c>
      <c r="B23" s="20"/>
      <c r="C23" s="17"/>
      <c r="D23" s="17"/>
      <c r="E23" s="85"/>
      <c r="F23" s="85"/>
      <c r="G23" s="85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6"/>
      <c r="S23" s="6"/>
      <c r="T23" s="6"/>
      <c r="U23" s="6"/>
      <c r="V23" s="6"/>
      <c r="W23" s="6"/>
      <c r="X23" s="6"/>
      <c r="Y23" s="6"/>
      <c r="Z23" s="6"/>
    </row>
    <row r="24" spans="1:26" x14ac:dyDescent="0.35">
      <c r="A24" s="9" t="s">
        <v>109</v>
      </c>
      <c r="B24" s="6">
        <f>'Balansräkning-3M'!B24</f>
        <v>347.4</v>
      </c>
      <c r="C24" s="6">
        <f>+'Balansräkning-3M'!C24</f>
        <v>341.1</v>
      </c>
      <c r="D24" s="6">
        <f>+'Balansräkning-3M'!D24</f>
        <v>319.8</v>
      </c>
      <c r="E24" s="85">
        <f>+'Balansräkning-3M'!E24</f>
        <v>348.6</v>
      </c>
      <c r="F24" s="85">
        <f>+'Balansräkning-3M'!F24</f>
        <v>397.3</v>
      </c>
      <c r="G24" s="85">
        <v>396.8</v>
      </c>
      <c r="H24" s="41">
        <v>383.2</v>
      </c>
      <c r="I24" s="41">
        <v>385.8</v>
      </c>
      <c r="J24" s="41">
        <v>395.79399999999998</v>
      </c>
      <c r="K24" s="41">
        <v>321.84399999999999</v>
      </c>
      <c r="L24" s="41">
        <v>305.86</v>
      </c>
      <c r="M24" s="41">
        <v>335.66</v>
      </c>
      <c r="N24" s="41">
        <v>327.14</v>
      </c>
      <c r="O24" s="41">
        <v>325.60000000000002</v>
      </c>
      <c r="P24" s="41">
        <v>350.6</v>
      </c>
      <c r="Q24" s="41">
        <v>339</v>
      </c>
      <c r="R24" s="6">
        <v>269.60000000000002</v>
      </c>
      <c r="S24" s="6">
        <v>233.44</v>
      </c>
      <c r="T24" s="6">
        <v>230.9</v>
      </c>
      <c r="U24" s="6">
        <v>233.9</v>
      </c>
      <c r="V24" s="6">
        <v>231.15700000000001</v>
      </c>
      <c r="W24" s="6">
        <v>231.9</v>
      </c>
      <c r="X24" s="6">
        <v>227.3</v>
      </c>
      <c r="Y24" s="6">
        <v>224</v>
      </c>
      <c r="Z24" s="6">
        <v>223.4</v>
      </c>
    </row>
    <row r="25" spans="1:26" x14ac:dyDescent="0.35">
      <c r="A25" s="9" t="s">
        <v>112</v>
      </c>
      <c r="B25" s="6" t="str">
        <f>'Balansräkning-3M'!B25</f>
        <v>-</v>
      </c>
      <c r="C25" s="6" t="s">
        <v>43</v>
      </c>
      <c r="D25" s="6" t="s">
        <v>43</v>
      </c>
      <c r="E25" s="85" t="str">
        <f>+'Balansräkning-3M'!E25</f>
        <v>-</v>
      </c>
      <c r="F25" s="85" t="str">
        <f>+'Balansräkning-3M'!F25</f>
        <v>-</v>
      </c>
      <c r="G25" s="85" t="s">
        <v>43</v>
      </c>
      <c r="H25" s="41" t="s">
        <v>43</v>
      </c>
      <c r="I25" s="41" t="s">
        <v>43</v>
      </c>
      <c r="J25" s="41" t="s">
        <v>43</v>
      </c>
      <c r="K25" s="41" t="s">
        <v>43</v>
      </c>
      <c r="L25" s="41" t="s">
        <v>43</v>
      </c>
      <c r="M25" s="41" t="s">
        <v>43</v>
      </c>
      <c r="N25" s="41" t="s">
        <v>43</v>
      </c>
      <c r="O25" s="41" t="s">
        <v>43</v>
      </c>
      <c r="P25" s="41" t="s">
        <v>43</v>
      </c>
      <c r="Q25" s="41" t="s">
        <v>43</v>
      </c>
      <c r="R25" s="6" t="s">
        <v>43</v>
      </c>
      <c r="S25" s="6" t="s">
        <v>43</v>
      </c>
      <c r="T25" s="6" t="s">
        <v>43</v>
      </c>
      <c r="U25" s="6" t="s">
        <v>43</v>
      </c>
      <c r="V25" s="6" t="s">
        <v>43</v>
      </c>
      <c r="W25" s="6" t="s">
        <v>43</v>
      </c>
      <c r="X25" s="6" t="s">
        <v>43</v>
      </c>
      <c r="Y25" s="6" t="s">
        <v>43</v>
      </c>
      <c r="Z25" s="6">
        <v>20.463000000000001</v>
      </c>
    </row>
    <row r="26" spans="1:26" x14ac:dyDescent="0.35">
      <c r="A26" s="9" t="s">
        <v>110</v>
      </c>
      <c r="B26" s="6">
        <f>'Balansräkning-3M'!B26</f>
        <v>492.1</v>
      </c>
      <c r="C26" s="6">
        <f>+'Balansräkning-3M'!C26</f>
        <v>457.3</v>
      </c>
      <c r="D26" s="6">
        <f>+'Balansräkning-3M'!D26</f>
        <v>463.4</v>
      </c>
      <c r="E26" s="85">
        <f>+'Balansräkning-3M'!E26</f>
        <v>555.70000000000005</v>
      </c>
      <c r="F26" s="85">
        <f>+'Balansräkning-3M'!F26</f>
        <v>509.4</v>
      </c>
      <c r="G26" s="85">
        <v>527.70000000000005</v>
      </c>
      <c r="H26" s="41">
        <v>462.6</v>
      </c>
      <c r="I26" s="41">
        <v>442</v>
      </c>
      <c r="J26" s="41">
        <v>458.18099999999998</v>
      </c>
      <c r="K26" s="41">
        <v>465.99</v>
      </c>
      <c r="L26" s="41">
        <v>482.46</v>
      </c>
      <c r="M26" s="41">
        <v>380.16</v>
      </c>
      <c r="N26" s="41">
        <v>407.94</v>
      </c>
      <c r="O26" s="41">
        <v>340.1</v>
      </c>
      <c r="P26" s="41">
        <v>330.9</v>
      </c>
      <c r="Q26" s="41">
        <v>360.9</v>
      </c>
      <c r="R26" s="6">
        <v>280.39999999999998</v>
      </c>
      <c r="S26" s="6">
        <v>251.8</v>
      </c>
      <c r="T26" s="6">
        <v>267.3</v>
      </c>
      <c r="U26" s="6">
        <v>266.2</v>
      </c>
      <c r="V26" s="6">
        <v>288.30799999999999</v>
      </c>
      <c r="W26" s="6">
        <v>243.1</v>
      </c>
      <c r="X26" s="6">
        <v>263.60000000000002</v>
      </c>
      <c r="Y26" s="6">
        <f>243.9-0.1</f>
        <v>243.8</v>
      </c>
      <c r="Z26" s="6">
        <f>274.9-20.463</f>
        <v>254.43699999999998</v>
      </c>
    </row>
    <row r="27" spans="1:26" x14ac:dyDescent="0.35">
      <c r="A27" s="18" t="s">
        <v>111</v>
      </c>
      <c r="B27" s="19">
        <f>'Balansräkning-3M'!B27</f>
        <v>1905.8999999999996</v>
      </c>
      <c r="C27" s="19">
        <f>+'Balansräkning-3M'!C27</f>
        <v>1798.2</v>
      </c>
      <c r="D27" s="19">
        <f>+'Balansräkning-3M'!D27</f>
        <v>1722.2</v>
      </c>
      <c r="E27" s="86">
        <f>+'Balansräkning-3M'!E27</f>
        <v>1780.6000000000001</v>
      </c>
      <c r="F27" s="86">
        <f>+'Balansräkning-3M'!F27</f>
        <v>1785.2</v>
      </c>
      <c r="G27" s="86">
        <v>1731.4</v>
      </c>
      <c r="H27" s="42">
        <f>H21+H24+H26</f>
        <v>1594.8000000000002</v>
      </c>
      <c r="I27" s="42">
        <f>SUM(I21:I26)</f>
        <v>1526.8</v>
      </c>
      <c r="J27" s="42">
        <v>1544.3609999999999</v>
      </c>
      <c r="K27" s="42">
        <v>1369.7270000000001</v>
      </c>
      <c r="L27" s="42">
        <f t="shared" ref="L27" si="6">SUM(L21:L26)</f>
        <v>1384.52</v>
      </c>
      <c r="M27" s="42">
        <v>1322.5200000000002</v>
      </c>
      <c r="N27" s="42">
        <f>SUM(N21:N26)</f>
        <v>1362.18</v>
      </c>
      <c r="O27" s="42">
        <f>SUM(O21:O26)</f>
        <v>1228.8000000000002</v>
      </c>
      <c r="P27" s="42">
        <f>SUM(P21:P26)</f>
        <v>1245.4000000000001</v>
      </c>
      <c r="Q27" s="42">
        <f>SUM(Q21:Q26)</f>
        <v>1244.8</v>
      </c>
      <c r="R27" s="19">
        <f>SUM(R21:R26)</f>
        <v>1089.5</v>
      </c>
      <c r="S27" s="19">
        <v>990.18000000000006</v>
      </c>
      <c r="T27" s="19">
        <f>SUM(T21:T26)</f>
        <v>992</v>
      </c>
      <c r="U27" s="19">
        <f>SUM(U21:U26)</f>
        <v>976</v>
      </c>
      <c r="V27" s="19">
        <f t="shared" ref="V27:Z27" si="7">SUM(V21:V26)</f>
        <v>1020.848</v>
      </c>
      <c r="W27" s="19">
        <f t="shared" si="7"/>
        <v>958.2</v>
      </c>
      <c r="X27" s="19">
        <f t="shared" si="7"/>
        <v>963.4</v>
      </c>
      <c r="Y27" s="19">
        <f t="shared" si="7"/>
        <v>926.09999999999991</v>
      </c>
      <c r="Z27" s="19">
        <f t="shared" si="7"/>
        <v>846.1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0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0" sqref="B10"/>
    </sheetView>
  </sheetViews>
  <sheetFormatPr defaultRowHeight="14.5" x14ac:dyDescent="0.35"/>
  <cols>
    <col min="1" max="1" width="55.1796875" bestFit="1" customWidth="1"/>
    <col min="2" max="2" width="12.453125" style="2" customWidth="1"/>
    <col min="3" max="3" width="9.1796875" style="45"/>
    <col min="4" max="4" width="8.7265625" style="45"/>
    <col min="5" max="5" width="9.1796875" style="45"/>
  </cols>
  <sheetData>
    <row r="1" spans="1:7" ht="23.5" x14ac:dyDescent="0.55000000000000004">
      <c r="A1" s="33" t="s">
        <v>71</v>
      </c>
      <c r="B1" s="33"/>
      <c r="C1" s="54"/>
      <c r="D1" s="54"/>
      <c r="E1" s="54"/>
      <c r="F1" s="4"/>
      <c r="G1" s="4"/>
    </row>
    <row r="2" spans="1:7" x14ac:dyDescent="0.35">
      <c r="A2" s="14" t="s">
        <v>0</v>
      </c>
      <c r="B2" s="52" t="s">
        <v>231</v>
      </c>
      <c r="C2" s="52" t="s">
        <v>206</v>
      </c>
      <c r="D2" s="52" t="s">
        <v>188</v>
      </c>
      <c r="E2" s="52" t="s">
        <v>73</v>
      </c>
      <c r="F2" s="15" t="s">
        <v>1</v>
      </c>
      <c r="G2" s="15" t="s">
        <v>2</v>
      </c>
    </row>
    <row r="3" spans="1:7" s="2" customFormat="1" x14ac:dyDescent="0.35">
      <c r="A3" s="12"/>
      <c r="B3" s="83"/>
      <c r="C3" s="83"/>
      <c r="D3" s="55"/>
      <c r="E3" s="55"/>
      <c r="F3" s="13"/>
      <c r="G3" s="13"/>
    </row>
    <row r="4" spans="1:7" x14ac:dyDescent="0.35">
      <c r="A4" s="20" t="s">
        <v>48</v>
      </c>
      <c r="B4" s="88">
        <f>+C10</f>
        <v>806.9</v>
      </c>
      <c r="C4" s="88">
        <f>+D10</f>
        <v>581.9</v>
      </c>
      <c r="D4" s="43">
        <v>563.1</v>
      </c>
      <c r="E4" s="43">
        <v>504.9</v>
      </c>
      <c r="F4" s="17">
        <v>483.2</v>
      </c>
      <c r="G4" s="17">
        <v>324.5</v>
      </c>
    </row>
    <row r="5" spans="1:7" s="2" customFormat="1" x14ac:dyDescent="0.35">
      <c r="A5" s="49" t="s">
        <v>74</v>
      </c>
      <c r="B5" s="85" t="s">
        <v>43</v>
      </c>
      <c r="C5" s="85" t="s">
        <v>43</v>
      </c>
      <c r="D5" s="41" t="s">
        <v>43</v>
      </c>
      <c r="E5" s="41">
        <v>39</v>
      </c>
      <c r="F5" s="6" t="s">
        <v>43</v>
      </c>
      <c r="G5" s="6" t="s">
        <v>43</v>
      </c>
    </row>
    <row r="6" spans="1:7" x14ac:dyDescent="0.35">
      <c r="A6" s="10" t="s">
        <v>49</v>
      </c>
      <c r="B6" s="85" t="s">
        <v>43</v>
      </c>
      <c r="C6" s="85">
        <v>37.200000000000003</v>
      </c>
      <c r="D6" s="41" t="s">
        <v>43</v>
      </c>
      <c r="E6" s="41" t="s">
        <v>43</v>
      </c>
      <c r="F6" s="6" t="s">
        <v>43</v>
      </c>
      <c r="G6" s="6">
        <v>136</v>
      </c>
    </row>
    <row r="7" spans="1:7" x14ac:dyDescent="0.35">
      <c r="A7" s="10" t="s">
        <v>50</v>
      </c>
      <c r="B7" s="85" t="s">
        <v>43</v>
      </c>
      <c r="C7" s="85" t="s">
        <v>43</v>
      </c>
      <c r="D7" s="41" t="s">
        <v>43</v>
      </c>
      <c r="E7" s="41" t="s">
        <v>43</v>
      </c>
      <c r="F7" s="6" t="s">
        <v>43</v>
      </c>
      <c r="G7" s="6">
        <v>-4.4000000000000004</v>
      </c>
    </row>
    <row r="8" spans="1:7" x14ac:dyDescent="0.35">
      <c r="A8" s="10" t="s">
        <v>51</v>
      </c>
      <c r="B8" s="85">
        <v>-105.8</v>
      </c>
      <c r="C8" s="85">
        <v>-63.5</v>
      </c>
      <c r="D8" s="41">
        <v>-48.6</v>
      </c>
      <c r="E8" s="41">
        <v>-40.340000000000003</v>
      </c>
      <c r="F8" s="6">
        <v>-40.299999999999997</v>
      </c>
      <c r="G8" s="6">
        <v>-40.299999999999997</v>
      </c>
    </row>
    <row r="9" spans="1:7" x14ac:dyDescent="0.35">
      <c r="A9" s="10" t="s">
        <v>52</v>
      </c>
      <c r="B9" s="85">
        <v>298.7</v>
      </c>
      <c r="C9" s="85">
        <v>251.3</v>
      </c>
      <c r="D9" s="41">
        <v>67.400000000000006</v>
      </c>
      <c r="E9" s="41">
        <v>59.56</v>
      </c>
      <c r="F9" s="6">
        <f>62</f>
        <v>62</v>
      </c>
      <c r="G9" s="6">
        <v>67.400000000000006</v>
      </c>
    </row>
    <row r="10" spans="1:7" x14ac:dyDescent="0.35">
      <c r="A10" s="18" t="s">
        <v>53</v>
      </c>
      <c r="B10" s="86">
        <f>SUM(B4:B9)</f>
        <v>999.8</v>
      </c>
      <c r="C10" s="86">
        <v>806.9</v>
      </c>
      <c r="D10" s="42">
        <f>SUM(D4:D9)</f>
        <v>581.9</v>
      </c>
      <c r="E10" s="42">
        <f>SUM(E4:E9)</f>
        <v>563.11999999999989</v>
      </c>
      <c r="F10" s="42">
        <f t="shared" ref="F10:G10" si="0">SUM(F4:F9)</f>
        <v>504.9</v>
      </c>
      <c r="G10" s="42">
        <f t="shared" si="0"/>
        <v>483.20000000000005</v>
      </c>
    </row>
  </sheetData>
  <pageMargins left="0.7" right="0.7" top="0.75" bottom="0.75" header="0.3" footer="0.3"/>
  <ignoredErrors>
    <ignoredError sqref="F2 G2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1" tint="0.499984740745262"/>
  </sheetPr>
  <dimension ref="A1:F10"/>
  <sheetViews>
    <sheetView showGridLines="0" workbookViewId="0">
      <pane xSplit="1" ySplit="2" topLeftCell="B3" activePane="bottomRight" state="frozen"/>
      <selection activeCell="W1" sqref="W1:X1048576"/>
      <selection pane="topRight" activeCell="W1" sqref="W1:X1048576"/>
      <selection pane="bottomLeft" activeCell="W1" sqref="W1:X1048576"/>
      <selection pane="bottomRight" activeCell="B5" sqref="B5"/>
    </sheetView>
  </sheetViews>
  <sheetFormatPr defaultColWidth="9.1796875" defaultRowHeight="14.5" x14ac:dyDescent="0.35"/>
  <cols>
    <col min="1" max="1" width="55.1796875" style="2" bestFit="1" customWidth="1"/>
    <col min="2" max="2" width="9.7265625" style="2" customWidth="1"/>
    <col min="3" max="5" width="9.1796875" style="45"/>
    <col min="6" max="16384" width="9.1796875" style="2"/>
  </cols>
  <sheetData>
    <row r="1" spans="1:6" ht="23.5" x14ac:dyDescent="0.55000000000000004">
      <c r="A1" s="33" t="s">
        <v>139</v>
      </c>
      <c r="B1" s="33"/>
      <c r="C1" s="54"/>
      <c r="D1" s="54"/>
      <c r="E1" s="54"/>
      <c r="F1" s="4"/>
    </row>
    <row r="2" spans="1:6" x14ac:dyDescent="0.35">
      <c r="A2" s="14" t="s">
        <v>0</v>
      </c>
      <c r="B2" s="52" t="s">
        <v>231</v>
      </c>
      <c r="C2" s="52" t="s">
        <v>206</v>
      </c>
      <c r="D2" s="52" t="s">
        <v>188</v>
      </c>
      <c r="E2" s="52" t="s">
        <v>73</v>
      </c>
      <c r="F2" s="15" t="s">
        <v>1</v>
      </c>
    </row>
    <row r="3" spans="1:6" x14ac:dyDescent="0.35">
      <c r="A3" s="12"/>
      <c r="B3" s="55"/>
      <c r="C3" s="55"/>
      <c r="D3" s="55"/>
      <c r="E3" s="55"/>
      <c r="F3" s="13"/>
    </row>
    <row r="4" spans="1:6" x14ac:dyDescent="0.35">
      <c r="A4" s="20" t="s">
        <v>117</v>
      </c>
      <c r="B4" s="88">
        <f>+'Eget kapital'!B4</f>
        <v>806.9</v>
      </c>
      <c r="C4" s="88">
        <f>+'Eget kapital'!C4</f>
        <v>581.9</v>
      </c>
      <c r="D4" s="43">
        <v>563.1</v>
      </c>
      <c r="E4" s="43">
        <v>504.9</v>
      </c>
      <c r="F4" s="17">
        <v>483.2</v>
      </c>
    </row>
    <row r="5" spans="1:6" x14ac:dyDescent="0.35">
      <c r="A5" s="49" t="s">
        <v>118</v>
      </c>
      <c r="B5" s="85" t="str">
        <f>+'Eget kapital'!B5</f>
        <v>-</v>
      </c>
      <c r="C5" s="85" t="str">
        <f>+'Eget kapital'!C5</f>
        <v>-</v>
      </c>
      <c r="D5" s="41" t="s">
        <v>43</v>
      </c>
      <c r="E5" s="41">
        <v>39</v>
      </c>
      <c r="F5" s="6" t="s">
        <v>43</v>
      </c>
    </row>
    <row r="6" spans="1:6" x14ac:dyDescent="0.35">
      <c r="A6" s="10" t="s">
        <v>119</v>
      </c>
      <c r="B6" s="85" t="str">
        <f>+'Eget kapital'!B6</f>
        <v>-</v>
      </c>
      <c r="C6" s="85">
        <f>+'Eget kapital'!C6</f>
        <v>37.200000000000003</v>
      </c>
      <c r="D6" s="41" t="s">
        <v>43</v>
      </c>
      <c r="E6" s="41" t="s">
        <v>43</v>
      </c>
      <c r="F6" s="6" t="s">
        <v>43</v>
      </c>
    </row>
    <row r="7" spans="1:6" x14ac:dyDescent="0.35">
      <c r="A7" s="10" t="s">
        <v>120</v>
      </c>
      <c r="B7" s="85" t="str">
        <f>+'Eget kapital'!B7</f>
        <v>-</v>
      </c>
      <c r="C7" s="85" t="str">
        <f>+'Eget kapital'!C7</f>
        <v>-</v>
      </c>
      <c r="D7" s="41" t="s">
        <v>43</v>
      </c>
      <c r="E7" s="41" t="s">
        <v>43</v>
      </c>
      <c r="F7" s="6" t="s">
        <v>43</v>
      </c>
    </row>
    <row r="8" spans="1:6" x14ac:dyDescent="0.35">
      <c r="A8" s="10" t="s">
        <v>115</v>
      </c>
      <c r="B8" s="85">
        <f>+'Eget kapital'!B8</f>
        <v>-105.8</v>
      </c>
      <c r="C8" s="85">
        <f>+'Eget kapital'!C8</f>
        <v>-63.5</v>
      </c>
      <c r="D8" s="41">
        <v>-48.6</v>
      </c>
      <c r="E8" s="41">
        <v>-40.340000000000003</v>
      </c>
      <c r="F8" s="6">
        <v>-40.299999999999997</v>
      </c>
    </row>
    <row r="9" spans="1:6" x14ac:dyDescent="0.35">
      <c r="A9" s="10" t="s">
        <v>121</v>
      </c>
      <c r="B9" s="85">
        <f>+'Eget kapital'!B9</f>
        <v>298.7</v>
      </c>
      <c r="C9" s="85">
        <f>+'Eget kapital'!C9</f>
        <v>251.3</v>
      </c>
      <c r="D9" s="41">
        <v>67.400000000000006</v>
      </c>
      <c r="E9" s="41">
        <v>59.56</v>
      </c>
      <c r="F9" s="6">
        <f>62</f>
        <v>62</v>
      </c>
    </row>
    <row r="10" spans="1:6" x14ac:dyDescent="0.35">
      <c r="A10" s="18" t="s">
        <v>116</v>
      </c>
      <c r="B10" s="86">
        <f>+'Eget kapital'!B10</f>
        <v>999.8</v>
      </c>
      <c r="C10" s="86">
        <f>+'Eget kapital'!C10</f>
        <v>806.9</v>
      </c>
      <c r="D10" s="42">
        <f>SUM(D4:D9)</f>
        <v>581.9</v>
      </c>
      <c r="E10" s="42">
        <f>SUM(E4:E9)</f>
        <v>563.11999999999989</v>
      </c>
      <c r="F10" s="42">
        <f t="shared" ref="F10" si="0">SUM(F4:F9)</f>
        <v>504.9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0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8" sqref="B8"/>
    </sheetView>
  </sheetViews>
  <sheetFormatPr defaultRowHeight="14.5" x14ac:dyDescent="0.35"/>
  <cols>
    <col min="1" max="1" width="55.1796875" bestFit="1" customWidth="1"/>
    <col min="2" max="2" width="11.453125" style="2" customWidth="1"/>
    <col min="3" max="3" width="8.54296875" style="2" customWidth="1"/>
    <col min="4" max="4" width="8" style="2" customWidth="1"/>
    <col min="5" max="13" width="8" style="45" customWidth="1"/>
    <col min="14" max="14" width="8" style="57" customWidth="1"/>
    <col min="15" max="17" width="8" style="45" customWidth="1"/>
    <col min="18" max="18" width="8" style="2" customWidth="1"/>
    <col min="19" max="26" width="8" customWidth="1"/>
  </cols>
  <sheetData>
    <row r="1" spans="1:26" ht="23.5" x14ac:dyDescent="0.55000000000000004">
      <c r="A1" s="33" t="s">
        <v>72</v>
      </c>
      <c r="B1" s="33"/>
      <c r="C1" s="33"/>
      <c r="D1" s="33"/>
      <c r="E1" s="47"/>
      <c r="F1" s="47"/>
      <c r="G1" s="47"/>
      <c r="H1" s="47"/>
      <c r="I1" s="47"/>
      <c r="J1" s="47"/>
      <c r="K1" s="47"/>
      <c r="L1" s="47"/>
      <c r="M1" s="47"/>
      <c r="N1" s="58"/>
      <c r="O1" s="47"/>
      <c r="P1" s="47"/>
      <c r="Q1" s="47"/>
      <c r="R1" s="33"/>
      <c r="S1" s="2"/>
      <c r="T1" s="2"/>
      <c r="U1" s="2"/>
      <c r="V1" s="2"/>
      <c r="W1" s="2"/>
      <c r="X1" s="2"/>
      <c r="Y1" s="2"/>
      <c r="Z1" s="2"/>
    </row>
    <row r="2" spans="1:26" s="2" customFormat="1" ht="29" x14ac:dyDescent="0.35">
      <c r="A2" s="36" t="s">
        <v>0</v>
      </c>
      <c r="B2" s="46" t="s">
        <v>238</v>
      </c>
      <c r="C2" s="46" t="s">
        <v>234</v>
      </c>
      <c r="D2" s="46" t="s">
        <v>230</v>
      </c>
      <c r="E2" s="46" t="s">
        <v>224</v>
      </c>
      <c r="F2" s="46" t="s">
        <v>222</v>
      </c>
      <c r="G2" s="46" t="s">
        <v>208</v>
      </c>
      <c r="H2" s="46" t="s">
        <v>202</v>
      </c>
      <c r="I2" s="46" t="s">
        <v>201</v>
      </c>
      <c r="J2" s="46" t="s">
        <v>194</v>
      </c>
      <c r="K2" s="46" t="s">
        <v>191</v>
      </c>
      <c r="L2" s="46" t="s">
        <v>187</v>
      </c>
      <c r="M2" s="46" t="s">
        <v>182</v>
      </c>
      <c r="N2" s="46" t="s">
        <v>167</v>
      </c>
      <c r="O2" s="46" t="s">
        <v>171</v>
      </c>
      <c r="P2" s="46" t="s">
        <v>173</v>
      </c>
      <c r="Q2" s="46" t="s">
        <v>176</v>
      </c>
      <c r="R2" s="35" t="s">
        <v>168</v>
      </c>
      <c r="S2" s="35" t="s">
        <v>172</v>
      </c>
      <c r="T2" s="35" t="s">
        <v>174</v>
      </c>
      <c r="U2" s="35" t="s">
        <v>177</v>
      </c>
      <c r="V2" s="35" t="s">
        <v>169</v>
      </c>
    </row>
    <row r="3" spans="1:26" s="2" customFormat="1" x14ac:dyDescent="0.35">
      <c r="A3" s="12"/>
      <c r="B3" s="12"/>
      <c r="C3" s="12"/>
      <c r="D3" s="12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17"/>
      <c r="S3" s="17"/>
      <c r="T3" s="17"/>
      <c r="U3" s="17"/>
      <c r="V3" s="17"/>
    </row>
    <row r="4" spans="1:26" x14ac:dyDescent="0.35">
      <c r="A4" s="20" t="s">
        <v>48</v>
      </c>
      <c r="B4" s="97">
        <v>999.8</v>
      </c>
      <c r="C4" s="17">
        <v>806.9</v>
      </c>
      <c r="D4" s="17">
        <v>806.9</v>
      </c>
      <c r="E4" s="43">
        <v>806.9</v>
      </c>
      <c r="F4" s="43">
        <v>806.9</v>
      </c>
      <c r="G4" s="43">
        <v>581.9</v>
      </c>
      <c r="H4" s="43">
        <f>581.9+0.0499</f>
        <v>581.94989999999996</v>
      </c>
      <c r="I4" s="43">
        <f>581.9+0.0499</f>
        <v>581.94989999999996</v>
      </c>
      <c r="J4" s="43">
        <f>581.9+0.0499</f>
        <v>581.94989999999996</v>
      </c>
      <c r="K4" s="43">
        <v>563.1</v>
      </c>
      <c r="L4" s="43">
        <v>563.1</v>
      </c>
      <c r="M4" s="43">
        <v>563.1</v>
      </c>
      <c r="N4" s="43">
        <v>563.1</v>
      </c>
      <c r="O4" s="43">
        <v>504.9</v>
      </c>
      <c r="P4" s="43">
        <v>504.9</v>
      </c>
      <c r="Q4" s="43">
        <v>504.9</v>
      </c>
      <c r="R4" s="17">
        <v>504.9</v>
      </c>
      <c r="S4" s="17">
        <v>483.2</v>
      </c>
      <c r="T4" s="17">
        <v>483.2</v>
      </c>
      <c r="U4" s="17">
        <v>483.2</v>
      </c>
      <c r="V4" s="17">
        <v>483.2</v>
      </c>
    </row>
    <row r="5" spans="1:26" s="2" customFormat="1" x14ac:dyDescent="0.35">
      <c r="A5" s="49" t="s">
        <v>74</v>
      </c>
      <c r="B5" s="54" t="s">
        <v>43</v>
      </c>
      <c r="C5" s="41" t="s">
        <v>43</v>
      </c>
      <c r="D5" s="41" t="s">
        <v>43</v>
      </c>
      <c r="E5" s="41" t="s">
        <v>43</v>
      </c>
      <c r="F5" s="41" t="s">
        <v>43</v>
      </c>
      <c r="G5" s="41" t="s">
        <v>43</v>
      </c>
      <c r="H5" s="41" t="s">
        <v>43</v>
      </c>
      <c r="I5" s="41" t="s">
        <v>43</v>
      </c>
      <c r="J5" s="41" t="s">
        <v>43</v>
      </c>
      <c r="K5" s="41" t="s">
        <v>43</v>
      </c>
      <c r="L5" s="61" t="s">
        <v>43</v>
      </c>
      <c r="M5" s="61" t="s">
        <v>43</v>
      </c>
      <c r="N5" s="61" t="s">
        <v>43</v>
      </c>
      <c r="O5" s="41">
        <v>39</v>
      </c>
      <c r="P5" s="41">
        <v>39</v>
      </c>
      <c r="Q5" s="41">
        <v>39</v>
      </c>
      <c r="R5" s="61" t="s">
        <v>43</v>
      </c>
      <c r="S5" s="61" t="s">
        <v>43</v>
      </c>
      <c r="T5" s="61" t="s">
        <v>43</v>
      </c>
      <c r="U5" s="61" t="s">
        <v>43</v>
      </c>
      <c r="V5" s="61" t="s">
        <v>43</v>
      </c>
    </row>
    <row r="6" spans="1:26" x14ac:dyDescent="0.35">
      <c r="A6" s="10" t="s">
        <v>49</v>
      </c>
      <c r="B6" s="4" t="s">
        <v>43</v>
      </c>
      <c r="C6" s="6" t="s">
        <v>43</v>
      </c>
      <c r="D6" s="6" t="s">
        <v>43</v>
      </c>
      <c r="E6" s="41" t="s">
        <v>43</v>
      </c>
      <c r="F6" s="41" t="s">
        <v>43</v>
      </c>
      <c r="G6" s="41">
        <v>37.200000000000003</v>
      </c>
      <c r="H6" s="41">
        <f>37.2+0.0499</f>
        <v>37.249900000000004</v>
      </c>
      <c r="I6" s="41">
        <f>37.2+0.0499</f>
        <v>37.249900000000004</v>
      </c>
      <c r="J6" s="41">
        <f>37.2+0.0499</f>
        <v>37.249900000000004</v>
      </c>
      <c r="K6" s="41" t="s">
        <v>43</v>
      </c>
      <c r="L6" s="61" t="s">
        <v>43</v>
      </c>
      <c r="M6" s="61" t="s">
        <v>43</v>
      </c>
      <c r="N6" s="61" t="s">
        <v>43</v>
      </c>
      <c r="O6" s="61" t="s">
        <v>43</v>
      </c>
      <c r="P6" s="61" t="s">
        <v>43</v>
      </c>
      <c r="Q6" s="61" t="s">
        <v>43</v>
      </c>
      <c r="R6" s="61" t="s">
        <v>43</v>
      </c>
      <c r="S6" s="61" t="s">
        <v>43</v>
      </c>
      <c r="T6" s="61" t="s">
        <v>43</v>
      </c>
      <c r="U6" s="61" t="s">
        <v>43</v>
      </c>
      <c r="V6" s="61" t="s">
        <v>43</v>
      </c>
    </row>
    <row r="7" spans="1:26" x14ac:dyDescent="0.35">
      <c r="A7" s="10" t="s">
        <v>50</v>
      </c>
      <c r="B7" s="4" t="s">
        <v>43</v>
      </c>
      <c r="C7" s="6" t="s">
        <v>43</v>
      </c>
      <c r="D7" s="6" t="s">
        <v>43</v>
      </c>
      <c r="E7" s="41" t="s">
        <v>43</v>
      </c>
      <c r="F7" s="41" t="s">
        <v>43</v>
      </c>
      <c r="G7" s="41" t="s">
        <v>43</v>
      </c>
      <c r="H7" s="41" t="s">
        <v>43</v>
      </c>
      <c r="I7" s="41" t="s">
        <v>43</v>
      </c>
      <c r="J7" s="41" t="s">
        <v>43</v>
      </c>
      <c r="K7" s="41" t="s">
        <v>43</v>
      </c>
      <c r="L7" s="61" t="s">
        <v>43</v>
      </c>
      <c r="M7" s="61" t="s">
        <v>43</v>
      </c>
      <c r="N7" s="61" t="s">
        <v>43</v>
      </c>
      <c r="O7" s="61" t="s">
        <v>43</v>
      </c>
      <c r="P7" s="61" t="s">
        <v>43</v>
      </c>
      <c r="Q7" s="61" t="s">
        <v>43</v>
      </c>
      <c r="R7" s="61" t="s">
        <v>43</v>
      </c>
      <c r="S7" s="61" t="s">
        <v>43</v>
      </c>
      <c r="T7" s="61" t="s">
        <v>43</v>
      </c>
      <c r="U7" s="61" t="s">
        <v>43</v>
      </c>
      <c r="V7" s="61" t="s">
        <v>43</v>
      </c>
    </row>
    <row r="8" spans="1:26" x14ac:dyDescent="0.35">
      <c r="A8" s="10" t="s">
        <v>51</v>
      </c>
      <c r="B8" s="4" t="s">
        <v>43</v>
      </c>
      <c r="C8" s="6">
        <v>-105.8</v>
      </c>
      <c r="D8" s="6">
        <v>-105.8</v>
      </c>
      <c r="E8" s="41">
        <v>-105.8</v>
      </c>
      <c r="F8" s="41" t="s">
        <v>43</v>
      </c>
      <c r="G8" s="41">
        <v>-63.5</v>
      </c>
      <c r="H8" s="41">
        <v>-63.54</v>
      </c>
      <c r="I8" s="41">
        <v>-63.54</v>
      </c>
      <c r="J8" s="41" t="s">
        <v>43</v>
      </c>
      <c r="K8" s="41">
        <v>-48.6</v>
      </c>
      <c r="L8" s="61">
        <v>-48.6</v>
      </c>
      <c r="M8" s="61" t="s">
        <v>43</v>
      </c>
      <c r="N8" s="61" t="s">
        <v>43</v>
      </c>
      <c r="O8" s="41">
        <v>-40.340000000000003</v>
      </c>
      <c r="P8" s="41">
        <v>-40.299999999999997</v>
      </c>
      <c r="Q8" s="41">
        <v>-40.299999999999997</v>
      </c>
      <c r="R8" s="61" t="s">
        <v>43</v>
      </c>
      <c r="S8" s="6">
        <v>-40.299999999999997</v>
      </c>
      <c r="T8" s="6">
        <v>-40.299999999999997</v>
      </c>
      <c r="U8" s="6">
        <v>-40.299999999999997</v>
      </c>
      <c r="V8" s="61" t="s">
        <v>43</v>
      </c>
    </row>
    <row r="9" spans="1:26" x14ac:dyDescent="0.35">
      <c r="A9" s="10" t="s">
        <v>52</v>
      </c>
      <c r="B9" s="4">
        <v>66.5</v>
      </c>
      <c r="C9" s="6">
        <v>298.7</v>
      </c>
      <c r="D9" s="6">
        <f>237.7</f>
        <v>237.7</v>
      </c>
      <c r="E9" s="41">
        <v>175.2</v>
      </c>
      <c r="F9" s="41">
        <v>71.8</v>
      </c>
      <c r="G9" s="41">
        <v>251.3</v>
      </c>
      <c r="H9" s="41">
        <v>193.3</v>
      </c>
      <c r="I9" s="41">
        <v>143.36000000000001</v>
      </c>
      <c r="J9" s="41">
        <f>71.1+0.0499</f>
        <v>71.149899999999988</v>
      </c>
      <c r="K9" s="41">
        <v>67.400000000000006</v>
      </c>
      <c r="L9" s="41">
        <v>81.7</v>
      </c>
      <c r="M9" s="41">
        <v>43.6</v>
      </c>
      <c r="N9" s="41">
        <v>64</v>
      </c>
      <c r="O9" s="41">
        <v>59.56</v>
      </c>
      <c r="P9" s="41">
        <v>60.3</v>
      </c>
      <c r="Q9" s="41">
        <v>41.3</v>
      </c>
      <c r="R9" s="6">
        <v>34.6</v>
      </c>
      <c r="S9" s="6">
        <f>62</f>
        <v>62</v>
      </c>
      <c r="T9" s="6">
        <v>50.9</v>
      </c>
      <c r="U9" s="6">
        <v>33</v>
      </c>
      <c r="V9" s="6">
        <v>18.2</v>
      </c>
    </row>
    <row r="10" spans="1:26" x14ac:dyDescent="0.35">
      <c r="A10" s="18" t="s">
        <v>53</v>
      </c>
      <c r="B10" s="19">
        <f>SUM(B4:B9)</f>
        <v>1066.3</v>
      </c>
      <c r="C10" s="19">
        <f>SUM(C4:C9)</f>
        <v>999.8</v>
      </c>
      <c r="D10" s="19">
        <v>939</v>
      </c>
      <c r="E10" s="42">
        <v>876.3</v>
      </c>
      <c r="F10" s="42">
        <v>878.5</v>
      </c>
      <c r="G10" s="42">
        <v>806.9</v>
      </c>
      <c r="H10" s="42">
        <f>SUM(H4:H9)</f>
        <v>748.95980000000009</v>
      </c>
      <c r="I10" s="42">
        <f>SUM(I4:I9)</f>
        <v>699.01980000000003</v>
      </c>
      <c r="J10" s="42">
        <v>690.4</v>
      </c>
      <c r="K10" s="42">
        <f>SUM(K4:K9)</f>
        <v>581.9</v>
      </c>
      <c r="L10" s="42">
        <f>SUM(L4:L9)</f>
        <v>596.20000000000005</v>
      </c>
      <c r="M10" s="42">
        <f>SUM(M4:M9)</f>
        <v>606.70000000000005</v>
      </c>
      <c r="N10" s="42">
        <f>SUM(N4:N9)</f>
        <v>627.1</v>
      </c>
      <c r="O10" s="42">
        <f t="shared" ref="O10:V10" si="0">SUM(O4:O9)</f>
        <v>563.11999999999989</v>
      </c>
      <c r="P10" s="42">
        <f t="shared" si="0"/>
        <v>563.9</v>
      </c>
      <c r="Q10" s="42">
        <f t="shared" si="0"/>
        <v>544.9</v>
      </c>
      <c r="R10" s="19">
        <f t="shared" si="0"/>
        <v>539.5</v>
      </c>
      <c r="S10" s="19">
        <f t="shared" si="0"/>
        <v>504.9</v>
      </c>
      <c r="T10" s="19">
        <f t="shared" si="0"/>
        <v>493.79999999999995</v>
      </c>
      <c r="U10" s="19">
        <f t="shared" si="0"/>
        <v>475.9</v>
      </c>
      <c r="V10" s="19">
        <f t="shared" si="0"/>
        <v>501.4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1" tint="0.499984740745262"/>
  </sheetPr>
  <dimension ref="A1:V10"/>
  <sheetViews>
    <sheetView showGridLines="0" workbookViewId="0">
      <pane xSplit="1" ySplit="2" topLeftCell="B3" activePane="bottomRight" state="frozen"/>
      <selection activeCell="W1" sqref="W1:X1048576"/>
      <selection pane="topRight" activeCell="W1" sqref="W1:X1048576"/>
      <selection pane="bottomLeft" activeCell="W1" sqref="W1:X1048576"/>
      <selection pane="bottomRight" activeCell="B4" sqref="B4"/>
    </sheetView>
  </sheetViews>
  <sheetFormatPr defaultColWidth="9.1796875" defaultRowHeight="14.5" x14ac:dyDescent="0.35"/>
  <cols>
    <col min="1" max="1" width="55.1796875" style="2" bestFit="1" customWidth="1"/>
    <col min="2" max="2" width="11.453125" style="2" customWidth="1"/>
    <col min="3" max="4" width="8" style="2" customWidth="1"/>
    <col min="5" max="8" width="8" style="45" customWidth="1"/>
    <col min="9" max="12" width="7.81640625" style="45" customWidth="1"/>
    <col min="13" max="13" width="8" style="45" customWidth="1"/>
    <col min="14" max="14" width="8" style="57" customWidth="1"/>
    <col min="15" max="17" width="8" style="45" customWidth="1"/>
    <col min="18" max="26" width="8" style="2" customWidth="1"/>
    <col min="27" max="16384" width="9.1796875" style="2"/>
  </cols>
  <sheetData>
    <row r="1" spans="1:22" ht="23.5" x14ac:dyDescent="0.55000000000000004">
      <c r="A1" s="33" t="s">
        <v>140</v>
      </c>
      <c r="B1" s="33"/>
      <c r="C1" s="33"/>
      <c r="D1" s="33"/>
      <c r="E1" s="47"/>
      <c r="F1" s="47"/>
      <c r="G1" s="47"/>
      <c r="H1" s="47"/>
      <c r="I1" s="47"/>
      <c r="J1" s="47"/>
      <c r="K1" s="47"/>
      <c r="L1" s="47"/>
      <c r="M1" s="47"/>
      <c r="N1" s="58"/>
      <c r="O1" s="47"/>
      <c r="P1" s="47"/>
      <c r="Q1" s="47"/>
      <c r="R1" s="33"/>
    </row>
    <row r="2" spans="1:22" ht="29" x14ac:dyDescent="0.35">
      <c r="A2" s="36" t="s">
        <v>0</v>
      </c>
      <c r="B2" s="46" t="s">
        <v>238</v>
      </c>
      <c r="C2" s="46" t="s">
        <v>234</v>
      </c>
      <c r="D2" s="46" t="s">
        <v>230</v>
      </c>
      <c r="E2" s="46" t="s">
        <v>224</v>
      </c>
      <c r="F2" s="46" t="s">
        <v>222</v>
      </c>
      <c r="G2" s="46" t="s">
        <v>208</v>
      </c>
      <c r="H2" s="46" t="s">
        <v>202</v>
      </c>
      <c r="I2" s="46" t="s">
        <v>201</v>
      </c>
      <c r="J2" s="46" t="s">
        <v>194</v>
      </c>
      <c r="K2" s="46" t="s">
        <v>191</v>
      </c>
      <c r="L2" s="46" t="s">
        <v>187</v>
      </c>
      <c r="M2" s="46" t="s">
        <v>182</v>
      </c>
      <c r="N2" s="46" t="s">
        <v>167</v>
      </c>
      <c r="O2" s="46" t="s">
        <v>171</v>
      </c>
      <c r="P2" s="46" t="s">
        <v>173</v>
      </c>
      <c r="Q2" s="46" t="s">
        <v>176</v>
      </c>
      <c r="R2" s="35" t="s">
        <v>168</v>
      </c>
      <c r="S2" s="35" t="s">
        <v>172</v>
      </c>
      <c r="T2" s="35" t="s">
        <v>174</v>
      </c>
      <c r="U2" s="35" t="s">
        <v>177</v>
      </c>
      <c r="V2" s="35" t="s">
        <v>169</v>
      </c>
    </row>
    <row r="3" spans="1:22" x14ac:dyDescent="0.35">
      <c r="A3" s="12"/>
      <c r="B3" s="12"/>
      <c r="C3" s="12"/>
      <c r="D3" s="12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17"/>
      <c r="S3" s="17"/>
      <c r="T3" s="17"/>
      <c r="U3" s="17"/>
      <c r="V3" s="17"/>
    </row>
    <row r="4" spans="1:22" x14ac:dyDescent="0.35">
      <c r="A4" s="20" t="s">
        <v>117</v>
      </c>
      <c r="B4" s="101">
        <f>'Eget kapital-3M'!B4</f>
        <v>999.8</v>
      </c>
      <c r="C4" s="17">
        <f>+'Eget kapital-3M'!C4</f>
        <v>806.9</v>
      </c>
      <c r="D4" s="17">
        <f>+'Eget kapital-3M'!D4</f>
        <v>806.9</v>
      </c>
      <c r="E4" s="43">
        <f>+'Eget kapital-3M'!E4</f>
        <v>806.9</v>
      </c>
      <c r="F4" s="43">
        <f>+'Eget kapital-3M'!F4</f>
        <v>806.9</v>
      </c>
      <c r="G4" s="43">
        <f>+'Eget kapital-3M'!G4</f>
        <v>581.9</v>
      </c>
      <c r="H4" s="43">
        <f>581.9+0.0499</f>
        <v>581.94989999999996</v>
      </c>
      <c r="I4" s="43">
        <v>581.94989999999996</v>
      </c>
      <c r="J4" s="43">
        <v>581.94989999999996</v>
      </c>
      <c r="K4" s="43">
        <v>563.1</v>
      </c>
      <c r="L4" s="43">
        <v>563.1</v>
      </c>
      <c r="M4" s="43">
        <v>563.1</v>
      </c>
      <c r="N4" s="43">
        <v>563.1</v>
      </c>
      <c r="O4" s="43">
        <v>504.9</v>
      </c>
      <c r="P4" s="43">
        <v>504.9</v>
      </c>
      <c r="Q4" s="43">
        <v>504.9</v>
      </c>
      <c r="R4" s="17">
        <v>504.9</v>
      </c>
      <c r="S4" s="17">
        <v>483.2</v>
      </c>
      <c r="T4" s="17">
        <v>483.2</v>
      </c>
      <c r="U4" s="17">
        <v>483.2</v>
      </c>
      <c r="V4" s="17">
        <v>483.2</v>
      </c>
    </row>
    <row r="5" spans="1:22" x14ac:dyDescent="0.35">
      <c r="A5" s="49" t="s">
        <v>118</v>
      </c>
      <c r="B5" s="50" t="str">
        <f>'Eget kapital-3M'!B5</f>
        <v>-</v>
      </c>
      <c r="C5" s="41" t="str">
        <f>+'Eget kapital-3M'!C5</f>
        <v>-</v>
      </c>
      <c r="D5" s="41" t="str">
        <f>+'Eget kapital-3M'!D5</f>
        <v>-</v>
      </c>
      <c r="E5" s="41" t="str">
        <f>+'Eget kapital-3M'!E5</f>
        <v>-</v>
      </c>
      <c r="F5" s="41" t="str">
        <f>+'Eget kapital-3M'!F5</f>
        <v>-</v>
      </c>
      <c r="G5" s="41" t="str">
        <f>+'Eget kapital-3M'!G5</f>
        <v>-</v>
      </c>
      <c r="H5" s="41" t="s">
        <v>43</v>
      </c>
      <c r="I5" s="41" t="s">
        <v>43</v>
      </c>
      <c r="J5" s="41" t="s">
        <v>43</v>
      </c>
      <c r="K5" s="41" t="s">
        <v>43</v>
      </c>
      <c r="L5" s="61" t="s">
        <v>43</v>
      </c>
      <c r="M5" s="61" t="s">
        <v>43</v>
      </c>
      <c r="N5" s="61" t="s">
        <v>43</v>
      </c>
      <c r="O5" s="41">
        <v>39</v>
      </c>
      <c r="P5" s="41">
        <v>39</v>
      </c>
      <c r="Q5" s="41">
        <v>39</v>
      </c>
      <c r="R5" s="61" t="s">
        <v>43</v>
      </c>
      <c r="S5" s="61" t="s">
        <v>43</v>
      </c>
      <c r="T5" s="61" t="s">
        <v>43</v>
      </c>
      <c r="U5" s="61" t="s">
        <v>43</v>
      </c>
      <c r="V5" s="61" t="s">
        <v>43</v>
      </c>
    </row>
    <row r="6" spans="1:22" x14ac:dyDescent="0.35">
      <c r="A6" s="10" t="s">
        <v>119</v>
      </c>
      <c r="B6" s="1" t="str">
        <f>'Eget kapital-3M'!B6</f>
        <v>-</v>
      </c>
      <c r="C6" s="6" t="str">
        <f>+'Eget kapital-3M'!C6</f>
        <v>-</v>
      </c>
      <c r="D6" s="6" t="str">
        <f>+'Eget kapital-3M'!D6</f>
        <v>-</v>
      </c>
      <c r="E6" s="41" t="str">
        <f>+'Eget kapital-3M'!E6</f>
        <v>-</v>
      </c>
      <c r="F6" s="41" t="str">
        <f>+'Eget kapital-3M'!F6</f>
        <v>-</v>
      </c>
      <c r="G6" s="41">
        <f>+'Eget kapital-3M'!G6</f>
        <v>37.200000000000003</v>
      </c>
      <c r="H6" s="41">
        <f>37.2+0.0499</f>
        <v>37.249900000000004</v>
      </c>
      <c r="I6" s="41">
        <v>37.249900000000004</v>
      </c>
      <c r="J6" s="41">
        <v>37.249900000000004</v>
      </c>
      <c r="K6" s="41" t="s">
        <v>43</v>
      </c>
      <c r="L6" s="61" t="s">
        <v>43</v>
      </c>
      <c r="M6" s="61" t="s">
        <v>43</v>
      </c>
      <c r="N6" s="61" t="s">
        <v>43</v>
      </c>
      <c r="O6" s="61" t="s">
        <v>43</v>
      </c>
      <c r="P6" s="61" t="s">
        <v>43</v>
      </c>
      <c r="Q6" s="61" t="s">
        <v>43</v>
      </c>
      <c r="R6" s="61" t="s">
        <v>43</v>
      </c>
      <c r="S6" s="61" t="s">
        <v>43</v>
      </c>
      <c r="T6" s="61" t="s">
        <v>43</v>
      </c>
      <c r="U6" s="61" t="s">
        <v>43</v>
      </c>
      <c r="V6" s="61" t="s">
        <v>43</v>
      </c>
    </row>
    <row r="7" spans="1:22" x14ac:dyDescent="0.35">
      <c r="A7" s="10" t="s">
        <v>120</v>
      </c>
      <c r="B7" s="1" t="str">
        <f>'Eget kapital-3M'!B7</f>
        <v>-</v>
      </c>
      <c r="C7" s="6" t="str">
        <f>+'Eget kapital-3M'!C7</f>
        <v>-</v>
      </c>
      <c r="D7" s="6" t="str">
        <f>+'Eget kapital-3M'!D7</f>
        <v>-</v>
      </c>
      <c r="E7" s="41" t="str">
        <f>+'Eget kapital-3M'!E7</f>
        <v>-</v>
      </c>
      <c r="F7" s="41" t="str">
        <f>+'Eget kapital-3M'!F7</f>
        <v>-</v>
      </c>
      <c r="G7" s="41" t="str">
        <f>+'Eget kapital-3M'!G7</f>
        <v>-</v>
      </c>
      <c r="H7" s="41" t="s">
        <v>43</v>
      </c>
      <c r="I7" s="41" t="s">
        <v>43</v>
      </c>
      <c r="J7" s="41" t="s">
        <v>43</v>
      </c>
      <c r="K7" s="41" t="s">
        <v>43</v>
      </c>
      <c r="L7" s="61" t="s">
        <v>43</v>
      </c>
      <c r="M7" s="61" t="s">
        <v>43</v>
      </c>
      <c r="N7" s="61" t="s">
        <v>43</v>
      </c>
      <c r="O7" s="61" t="s">
        <v>43</v>
      </c>
      <c r="P7" s="61" t="s">
        <v>43</v>
      </c>
      <c r="Q7" s="61" t="s">
        <v>43</v>
      </c>
      <c r="R7" s="61" t="s">
        <v>43</v>
      </c>
      <c r="S7" s="61" t="s">
        <v>43</v>
      </c>
      <c r="T7" s="61" t="s">
        <v>43</v>
      </c>
      <c r="U7" s="61" t="s">
        <v>43</v>
      </c>
      <c r="V7" s="61" t="s">
        <v>43</v>
      </c>
    </row>
    <row r="8" spans="1:22" x14ac:dyDescent="0.35">
      <c r="A8" s="10" t="s">
        <v>115</v>
      </c>
      <c r="B8" s="1" t="str">
        <f>'Eget kapital-3M'!B8</f>
        <v>-</v>
      </c>
      <c r="C8" s="6">
        <f>+'Eget kapital-3M'!C8</f>
        <v>-105.8</v>
      </c>
      <c r="D8" s="6">
        <f>+'Eget kapital-3M'!D8</f>
        <v>-105.8</v>
      </c>
      <c r="E8" s="41">
        <f>+'Eget kapital-3M'!E8</f>
        <v>-105.8</v>
      </c>
      <c r="F8" s="41" t="str">
        <f>+'Eget kapital-3M'!F8</f>
        <v>-</v>
      </c>
      <c r="G8" s="41">
        <f>+'Eget kapital-3M'!G8</f>
        <v>-63.5</v>
      </c>
      <c r="H8" s="41">
        <v>-63.54</v>
      </c>
      <c r="I8" s="41">
        <v>-63.54</v>
      </c>
      <c r="J8" s="41" t="s">
        <v>43</v>
      </c>
      <c r="K8" s="41">
        <v>-48.6</v>
      </c>
      <c r="L8" s="61">
        <v>-48.6</v>
      </c>
      <c r="M8" s="61" t="s">
        <v>43</v>
      </c>
      <c r="N8" s="61" t="s">
        <v>43</v>
      </c>
      <c r="O8" s="41">
        <v>-40.340000000000003</v>
      </c>
      <c r="P8" s="41">
        <v>-40.299999999999997</v>
      </c>
      <c r="Q8" s="41">
        <v>-40.299999999999997</v>
      </c>
      <c r="R8" s="61" t="s">
        <v>43</v>
      </c>
      <c r="S8" s="6">
        <v>-40.299999999999997</v>
      </c>
      <c r="T8" s="6">
        <v>-40.299999999999997</v>
      </c>
      <c r="U8" s="6">
        <v>-40.299999999999997</v>
      </c>
      <c r="V8" s="61" t="s">
        <v>43</v>
      </c>
    </row>
    <row r="9" spans="1:22" x14ac:dyDescent="0.35">
      <c r="A9" s="10" t="s">
        <v>121</v>
      </c>
      <c r="B9" s="1">
        <f>'Eget kapital-3M'!B9</f>
        <v>66.5</v>
      </c>
      <c r="C9" s="6">
        <f>+'Eget kapital-3M'!C9</f>
        <v>298.7</v>
      </c>
      <c r="D9" s="6">
        <f>+'Eget kapital-3M'!D9</f>
        <v>237.7</v>
      </c>
      <c r="E9" s="41">
        <f>+'Eget kapital-3M'!E9</f>
        <v>175.2</v>
      </c>
      <c r="F9" s="41">
        <f>+'Eget kapital-3M'!F9</f>
        <v>71.8</v>
      </c>
      <c r="G9" s="41">
        <f>+'Eget kapital-3M'!G9</f>
        <v>251.3</v>
      </c>
      <c r="H9" s="41">
        <v>193.3</v>
      </c>
      <c r="I9" s="41">
        <v>143.36000000000001</v>
      </c>
      <c r="J9" s="41">
        <v>71.149899999999988</v>
      </c>
      <c r="K9" s="41">
        <v>67.400000000000006</v>
      </c>
      <c r="L9" s="41">
        <v>81.7</v>
      </c>
      <c r="M9" s="41">
        <v>43.6</v>
      </c>
      <c r="N9" s="41">
        <v>64</v>
      </c>
      <c r="O9" s="41">
        <v>59.56</v>
      </c>
      <c r="P9" s="41">
        <v>60.3</v>
      </c>
      <c r="Q9" s="41">
        <v>41.3</v>
      </c>
      <c r="R9" s="6">
        <v>34.6</v>
      </c>
      <c r="S9" s="6">
        <f>62</f>
        <v>62</v>
      </c>
      <c r="T9" s="6">
        <v>50.9</v>
      </c>
      <c r="U9" s="6">
        <v>33</v>
      </c>
      <c r="V9" s="6">
        <v>18.2</v>
      </c>
    </row>
    <row r="10" spans="1:22" x14ac:dyDescent="0.35">
      <c r="A10" s="18" t="s">
        <v>116</v>
      </c>
      <c r="B10" s="38">
        <f>'Eget kapital-3M'!B10</f>
        <v>1066.3</v>
      </c>
      <c r="C10" s="19">
        <f>+'Eget kapital-3M'!C10</f>
        <v>999.8</v>
      </c>
      <c r="D10" s="19">
        <f>+'Eget kapital-3M'!D10</f>
        <v>939</v>
      </c>
      <c r="E10" s="42">
        <f>+'Eget kapital-3M'!E10</f>
        <v>876.3</v>
      </c>
      <c r="F10" s="42">
        <f>+'Eget kapital-3M'!F10</f>
        <v>878.5</v>
      </c>
      <c r="G10" s="42">
        <f>+'Eget kapital-3M'!G10</f>
        <v>806.9</v>
      </c>
      <c r="H10" s="42">
        <f>SUM(H4:H9)</f>
        <v>748.95980000000009</v>
      </c>
      <c r="I10" s="42">
        <f>SUM(I4:I9)</f>
        <v>699.01980000000003</v>
      </c>
      <c r="J10" s="42">
        <v>690.4</v>
      </c>
      <c r="K10" s="42">
        <f>SUM(K4:K9)</f>
        <v>581.9</v>
      </c>
      <c r="L10" s="42">
        <f>SUM(L4:L9)</f>
        <v>596.20000000000005</v>
      </c>
      <c r="M10" s="42">
        <v>606.70000000000005</v>
      </c>
      <c r="N10" s="42">
        <f>SUM(N4:N9)</f>
        <v>627.1</v>
      </c>
      <c r="O10" s="42">
        <f t="shared" ref="O10:V10" si="0">SUM(O4:O9)</f>
        <v>563.11999999999989</v>
      </c>
      <c r="P10" s="42">
        <f t="shared" si="0"/>
        <v>563.9</v>
      </c>
      <c r="Q10" s="42">
        <f t="shared" si="0"/>
        <v>544.9</v>
      </c>
      <c r="R10" s="19">
        <f t="shared" si="0"/>
        <v>539.5</v>
      </c>
      <c r="S10" s="19">
        <f t="shared" si="0"/>
        <v>504.9</v>
      </c>
      <c r="T10" s="19">
        <f t="shared" si="0"/>
        <v>493.79999999999995</v>
      </c>
      <c r="U10" s="19">
        <f t="shared" si="0"/>
        <v>475.9</v>
      </c>
      <c r="V10" s="19">
        <f t="shared" si="0"/>
        <v>501.4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3" sqref="B13"/>
    </sheetView>
  </sheetViews>
  <sheetFormatPr defaultRowHeight="14.5" x14ac:dyDescent="0.35"/>
  <cols>
    <col min="1" max="1" width="70.26953125" bestFit="1" customWidth="1"/>
    <col min="2" max="2" width="10.26953125" style="2" customWidth="1"/>
    <col min="3" max="3" width="9.1796875" style="45"/>
    <col min="4" max="4" width="8.7265625" style="45"/>
    <col min="5" max="5" width="9.1796875" style="45"/>
  </cols>
  <sheetData>
    <row r="1" spans="1:6" ht="23.5" x14ac:dyDescent="0.55000000000000004">
      <c r="A1" s="21" t="s">
        <v>64</v>
      </c>
      <c r="B1" s="21"/>
      <c r="C1" s="53"/>
      <c r="D1" s="53"/>
      <c r="E1" s="53"/>
      <c r="F1" s="3"/>
    </row>
    <row r="2" spans="1:6" x14ac:dyDescent="0.35">
      <c r="A2" s="24" t="s">
        <v>0</v>
      </c>
      <c r="B2" s="52" t="s">
        <v>231</v>
      </c>
      <c r="C2" s="52" t="s">
        <v>206</v>
      </c>
      <c r="D2" s="52" t="s">
        <v>188</v>
      </c>
      <c r="E2" s="52" t="s">
        <v>73</v>
      </c>
      <c r="F2" s="15" t="s">
        <v>1</v>
      </c>
    </row>
    <row r="3" spans="1:6" x14ac:dyDescent="0.35">
      <c r="A3" s="7" t="s">
        <v>54</v>
      </c>
      <c r="B3" s="85">
        <f>251.6+87.5-74.6</f>
        <v>264.5</v>
      </c>
      <c r="C3" s="85">
        <v>351.34500000000003</v>
      </c>
      <c r="D3" s="41">
        <v>160.29499999999999</v>
      </c>
      <c r="E3" s="41">
        <v>162.30000000000001</v>
      </c>
      <c r="F3" s="6">
        <f>105.3-0.04</f>
        <v>105.25999999999999</v>
      </c>
    </row>
    <row r="4" spans="1:6" x14ac:dyDescent="0.35">
      <c r="A4" s="7" t="s">
        <v>55</v>
      </c>
      <c r="B4" s="85">
        <v>-182.9</v>
      </c>
      <c r="C4" s="85">
        <v>-75.445999999999998</v>
      </c>
      <c r="D4" s="41">
        <v>33.383000000000003</v>
      </c>
      <c r="E4" s="41">
        <v>17.745999999999999</v>
      </c>
      <c r="F4" s="6">
        <f>22.1-0.04</f>
        <v>22.060000000000002</v>
      </c>
    </row>
    <row r="5" spans="1:6" x14ac:dyDescent="0.35">
      <c r="A5" s="23" t="s">
        <v>56</v>
      </c>
      <c r="B5" s="86">
        <f>SUM(B3:B4)</f>
        <v>81.599999999999994</v>
      </c>
      <c r="C5" s="86">
        <v>275.89999999999998</v>
      </c>
      <c r="D5" s="42">
        <f>SUM(D3:D4)</f>
        <v>193.678</v>
      </c>
      <c r="E5" s="42">
        <f>SUM(E3:E4)</f>
        <v>180.04600000000002</v>
      </c>
      <c r="F5" s="19">
        <f>SUM(F3:F4)</f>
        <v>127.32</v>
      </c>
    </row>
    <row r="6" spans="1:6" s="2" customFormat="1" x14ac:dyDescent="0.35">
      <c r="A6" s="7"/>
      <c r="B6" s="85"/>
      <c r="C6" s="85"/>
      <c r="D6" s="41"/>
      <c r="E6" s="41"/>
      <c r="F6" s="6"/>
    </row>
    <row r="7" spans="1:6" x14ac:dyDescent="0.35">
      <c r="A7" s="23" t="s">
        <v>57</v>
      </c>
      <c r="B7" s="86">
        <v>-87.4</v>
      </c>
      <c r="C7" s="86">
        <v>-123.7</v>
      </c>
      <c r="D7" s="42">
        <v>-44.786000000000001</v>
      </c>
      <c r="E7" s="42">
        <v>-184.2</v>
      </c>
      <c r="F7" s="19">
        <v>-22</v>
      </c>
    </row>
    <row r="8" spans="1:6" s="2" customFormat="1" x14ac:dyDescent="0.35">
      <c r="A8" s="7"/>
      <c r="B8" s="85"/>
      <c r="C8" s="85"/>
      <c r="D8" s="41"/>
      <c r="E8" s="41"/>
      <c r="F8" s="6"/>
    </row>
    <row r="9" spans="1:6" x14ac:dyDescent="0.35">
      <c r="A9" s="23" t="s">
        <v>58</v>
      </c>
      <c r="B9" s="86">
        <v>20.3</v>
      </c>
      <c r="C9" s="86">
        <v>152.19999999999999</v>
      </c>
      <c r="D9" s="42">
        <f>SUM(D5:D7)</f>
        <v>148.892</v>
      </c>
      <c r="E9" s="42">
        <f>SUM(E5:E7)</f>
        <v>-4.1539999999999679</v>
      </c>
      <c r="F9" s="19">
        <f>SUM(F5:F7)-0.04</f>
        <v>105.27999999999999</v>
      </c>
    </row>
    <row r="10" spans="1:6" s="2" customFormat="1" x14ac:dyDescent="0.35">
      <c r="A10" s="7"/>
      <c r="B10" s="85"/>
      <c r="C10" s="85"/>
      <c r="D10" s="41"/>
      <c r="E10" s="41"/>
      <c r="F10" s="6"/>
    </row>
    <row r="11" spans="1:6" x14ac:dyDescent="0.35">
      <c r="A11" s="23" t="s">
        <v>59</v>
      </c>
      <c r="B11" s="86">
        <v>-144.4</v>
      </c>
      <c r="C11" s="86">
        <v>-162.4</v>
      </c>
      <c r="D11" s="42">
        <v>-76.385000000000005</v>
      </c>
      <c r="E11" s="42">
        <f>-71.34-8.9</f>
        <v>-80.240000000000009</v>
      </c>
      <c r="F11" s="19">
        <f>-45.2-0.04</f>
        <v>-45.24</v>
      </c>
    </row>
    <row r="12" spans="1:6" s="2" customFormat="1" x14ac:dyDescent="0.35">
      <c r="A12" s="7"/>
      <c r="B12" s="85"/>
      <c r="C12" s="85"/>
      <c r="D12" s="41"/>
      <c r="E12" s="41"/>
      <c r="F12" s="6"/>
    </row>
    <row r="13" spans="1:6" x14ac:dyDescent="0.35">
      <c r="A13" s="23" t="s">
        <v>60</v>
      </c>
      <c r="B13" s="86">
        <v>-124.1</v>
      </c>
      <c r="C13" s="86">
        <v>-10.199999999999999</v>
      </c>
      <c r="D13" s="42">
        <f>SUM(D9:D11)</f>
        <v>72.506999999999991</v>
      </c>
      <c r="E13" s="42">
        <f>SUM(E9:E11)</f>
        <v>-84.393999999999977</v>
      </c>
      <c r="F13" s="19">
        <f>SUM(F9:F11)</f>
        <v>60.039999999999985</v>
      </c>
    </row>
    <row r="14" spans="1:6" s="2" customFormat="1" x14ac:dyDescent="0.35">
      <c r="A14" s="7"/>
      <c r="B14" s="85"/>
      <c r="C14" s="85"/>
      <c r="D14" s="41"/>
      <c r="E14" s="41"/>
      <c r="F14" s="6"/>
    </row>
    <row r="15" spans="1:6" x14ac:dyDescent="0.35">
      <c r="A15" s="2" t="s">
        <v>61</v>
      </c>
      <c r="B15" s="85">
        <f>C17</f>
        <v>193.9</v>
      </c>
      <c r="C15" s="85">
        <v>203.5</v>
      </c>
      <c r="D15" s="41">
        <v>131.1</v>
      </c>
      <c r="E15" s="41">
        <v>215.5</v>
      </c>
      <c r="F15" s="6">
        <v>156</v>
      </c>
    </row>
    <row r="16" spans="1:6" x14ac:dyDescent="0.35">
      <c r="A16" s="2" t="s">
        <v>62</v>
      </c>
      <c r="B16" s="90">
        <v>-0.1</v>
      </c>
      <c r="C16" s="90">
        <v>0.6</v>
      </c>
      <c r="D16" s="61">
        <v>-0.1</v>
      </c>
      <c r="E16" s="61" t="s">
        <v>43</v>
      </c>
      <c r="F16" s="6">
        <f>-0.6+0.04</f>
        <v>-0.55999999999999994</v>
      </c>
    </row>
    <row r="17" spans="1:6" x14ac:dyDescent="0.35">
      <c r="A17" s="8" t="s">
        <v>63</v>
      </c>
      <c r="B17" s="85">
        <v>69.599999999999994</v>
      </c>
      <c r="C17" s="85">
        <v>193.9</v>
      </c>
      <c r="D17" s="41">
        <v>203.47200000000001</v>
      </c>
      <c r="E17" s="41">
        <v>131</v>
      </c>
      <c r="F17" s="6">
        <f>F13+F15+F16</f>
        <v>215.48</v>
      </c>
    </row>
  </sheetData>
  <pageMargins left="0.7" right="0.7" top="0.75" bottom="0.75" header="0.3" footer="0.3"/>
  <ignoredErrors>
    <ignoredError sqref="F2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1" tint="0.499984740745262"/>
  </sheetPr>
  <dimension ref="A1:F17"/>
  <sheetViews>
    <sheetView workbookViewId="0">
      <pane xSplit="1" ySplit="2" topLeftCell="B3" activePane="bottomRight" state="frozen"/>
      <selection activeCell="W1" sqref="W1:X1048576"/>
      <selection pane="topRight" activeCell="W1" sqref="W1:X1048576"/>
      <selection pane="bottomLeft" activeCell="W1" sqref="W1:X1048576"/>
      <selection pane="bottomRight" activeCell="C13" sqref="C13:C15"/>
    </sheetView>
  </sheetViews>
  <sheetFormatPr defaultColWidth="9.1796875" defaultRowHeight="14.5" x14ac:dyDescent="0.35"/>
  <cols>
    <col min="1" max="1" width="70.26953125" style="2" bestFit="1" customWidth="1"/>
    <col min="2" max="2" width="8.1796875" style="2" customWidth="1"/>
    <col min="3" max="5" width="9.1796875" style="45"/>
    <col min="6" max="16384" width="9.1796875" style="2"/>
  </cols>
  <sheetData>
    <row r="1" spans="1:6" ht="23.5" x14ac:dyDescent="0.55000000000000004">
      <c r="A1" s="21" t="s">
        <v>136</v>
      </c>
      <c r="B1" s="21"/>
      <c r="C1" s="53"/>
      <c r="D1" s="53"/>
      <c r="E1" s="53"/>
      <c r="F1" s="3"/>
    </row>
    <row r="2" spans="1:6" x14ac:dyDescent="0.35">
      <c r="A2" s="24" t="s">
        <v>0</v>
      </c>
      <c r="B2" s="52" t="s">
        <v>231</v>
      </c>
      <c r="C2" s="52" t="s">
        <v>206</v>
      </c>
      <c r="D2" s="52" t="s">
        <v>188</v>
      </c>
      <c r="E2" s="52" t="s">
        <v>73</v>
      </c>
      <c r="F2" s="15" t="s">
        <v>1</v>
      </c>
    </row>
    <row r="3" spans="1:6" x14ac:dyDescent="0.35">
      <c r="A3" s="7" t="s">
        <v>122</v>
      </c>
      <c r="B3" s="41">
        <f>+Kassaflöde!B3</f>
        <v>264.5</v>
      </c>
      <c r="C3" s="41">
        <f>+Kassaflöde!C3</f>
        <v>351.34500000000003</v>
      </c>
      <c r="D3" s="41">
        <v>160.29499999999999</v>
      </c>
      <c r="E3" s="41">
        <v>162.30000000000001</v>
      </c>
      <c r="F3" s="6">
        <f>105.3-0.04</f>
        <v>105.25999999999999</v>
      </c>
    </row>
    <row r="4" spans="1:6" x14ac:dyDescent="0.35">
      <c r="A4" s="7" t="s">
        <v>123</v>
      </c>
      <c r="B4" s="41">
        <f>+Kassaflöde!B4</f>
        <v>-182.9</v>
      </c>
      <c r="C4" s="41">
        <f>+Kassaflöde!C4</f>
        <v>-75.445999999999998</v>
      </c>
      <c r="D4" s="41">
        <v>33.383000000000003</v>
      </c>
      <c r="E4" s="41">
        <v>17.745999999999999</v>
      </c>
      <c r="F4" s="6">
        <f>22.1-0.04</f>
        <v>22.060000000000002</v>
      </c>
    </row>
    <row r="5" spans="1:6" x14ac:dyDescent="0.35">
      <c r="A5" s="23" t="s">
        <v>124</v>
      </c>
      <c r="B5" s="42">
        <f>+Kassaflöde!B5</f>
        <v>81.599999999999994</v>
      </c>
      <c r="C5" s="42">
        <f>+Kassaflöde!C5</f>
        <v>275.89999999999998</v>
      </c>
      <c r="D5" s="42">
        <f>SUM(D3:D4)</f>
        <v>193.678</v>
      </c>
      <c r="E5" s="42">
        <f>SUM(E3:E4)</f>
        <v>180.04600000000002</v>
      </c>
      <c r="F5" s="19">
        <f>SUM(F3:F4)</f>
        <v>127.32</v>
      </c>
    </row>
    <row r="6" spans="1:6" x14ac:dyDescent="0.35">
      <c r="A6" s="7"/>
      <c r="B6" s="41"/>
      <c r="C6" s="41"/>
      <c r="D6" s="41"/>
      <c r="E6" s="41"/>
      <c r="F6" s="6"/>
    </row>
    <row r="7" spans="1:6" x14ac:dyDescent="0.35">
      <c r="A7" s="23" t="s">
        <v>125</v>
      </c>
      <c r="B7" s="42">
        <f>+Kassaflöde!B7</f>
        <v>-87.4</v>
      </c>
      <c r="C7" s="42">
        <f>+Kassaflöde!C7</f>
        <v>-123.7</v>
      </c>
      <c r="D7" s="42">
        <v>-44.786000000000001</v>
      </c>
      <c r="E7" s="42">
        <v>-184.2</v>
      </c>
      <c r="F7" s="19">
        <v>-22</v>
      </c>
    </row>
    <row r="8" spans="1:6" x14ac:dyDescent="0.35">
      <c r="A8" s="7"/>
      <c r="B8" s="41"/>
      <c r="C8" s="41"/>
      <c r="D8" s="41"/>
      <c r="E8" s="41"/>
      <c r="F8" s="6"/>
    </row>
    <row r="9" spans="1:6" x14ac:dyDescent="0.35">
      <c r="A9" s="23" t="s">
        <v>126</v>
      </c>
      <c r="B9" s="42">
        <f>+Kassaflöde!B9</f>
        <v>20.3</v>
      </c>
      <c r="C9" s="42">
        <f>+Kassaflöde!C9</f>
        <v>152.19999999999999</v>
      </c>
      <c r="D9" s="42">
        <f>SUM(D5:D7)</f>
        <v>148.892</v>
      </c>
      <c r="E9" s="42">
        <f>SUM(E5:E7)</f>
        <v>-4.1539999999999679</v>
      </c>
      <c r="F9" s="19">
        <f>SUM(F5:F7)-0.04</f>
        <v>105.27999999999999</v>
      </c>
    </row>
    <row r="10" spans="1:6" x14ac:dyDescent="0.35">
      <c r="A10" s="7"/>
      <c r="B10" s="41"/>
      <c r="C10" s="41"/>
      <c r="D10" s="41"/>
      <c r="E10" s="41"/>
      <c r="F10" s="6"/>
    </row>
    <row r="11" spans="1:6" x14ac:dyDescent="0.35">
      <c r="A11" s="23" t="s">
        <v>127</v>
      </c>
      <c r="B11" s="42">
        <f>+Kassaflöde!B11</f>
        <v>-144.4</v>
      </c>
      <c r="C11" s="42">
        <f>+Kassaflöde!C11</f>
        <v>-162.4</v>
      </c>
      <c r="D11" s="42">
        <v>-76.385000000000005</v>
      </c>
      <c r="E11" s="42">
        <f>-71.34-8.8</f>
        <v>-80.14</v>
      </c>
      <c r="F11" s="19">
        <f>-45.2-0.04</f>
        <v>-45.24</v>
      </c>
    </row>
    <row r="12" spans="1:6" x14ac:dyDescent="0.35">
      <c r="A12" s="7"/>
      <c r="B12" s="41"/>
      <c r="C12" s="41"/>
      <c r="D12" s="41"/>
      <c r="E12" s="41"/>
      <c r="F12" s="6"/>
    </row>
    <row r="13" spans="1:6" x14ac:dyDescent="0.35">
      <c r="A13" s="23" t="s">
        <v>128</v>
      </c>
      <c r="B13" s="42">
        <f>+Kassaflöde!B13</f>
        <v>-124.1</v>
      </c>
      <c r="C13" s="42">
        <f>+Kassaflöde!C13</f>
        <v>-10.199999999999999</v>
      </c>
      <c r="D13" s="42">
        <f>SUM(D9:D11)</f>
        <v>72.506999999999991</v>
      </c>
      <c r="E13" s="42">
        <f>SUM(E9:E11)</f>
        <v>-84.293999999999969</v>
      </c>
      <c r="F13" s="19">
        <f>SUM(F9:F11)</f>
        <v>60.039999999999985</v>
      </c>
    </row>
    <row r="14" spans="1:6" x14ac:dyDescent="0.35">
      <c r="A14" s="7"/>
      <c r="B14" s="41"/>
      <c r="C14" s="41"/>
      <c r="D14" s="41"/>
      <c r="E14" s="41"/>
      <c r="F14" s="6"/>
    </row>
    <row r="15" spans="1:6" x14ac:dyDescent="0.35">
      <c r="A15" s="2" t="s">
        <v>130</v>
      </c>
      <c r="B15" s="41">
        <f>+Kassaflöde!B15</f>
        <v>193.9</v>
      </c>
      <c r="C15" s="41">
        <f>+Kassaflöde!C15</f>
        <v>203.5</v>
      </c>
      <c r="D15" s="41">
        <v>131.1</v>
      </c>
      <c r="E15" s="41">
        <v>215.5</v>
      </c>
      <c r="F15" s="6">
        <v>156</v>
      </c>
    </row>
    <row r="16" spans="1:6" x14ac:dyDescent="0.35">
      <c r="A16" s="2" t="s">
        <v>131</v>
      </c>
      <c r="B16" s="61">
        <f>+Kassaflöde!B16</f>
        <v>-0.1</v>
      </c>
      <c r="C16" s="61">
        <f>+Kassaflöde!C16</f>
        <v>0.6</v>
      </c>
      <c r="D16" s="61">
        <v>-0.1</v>
      </c>
      <c r="E16" s="61" t="s">
        <v>43</v>
      </c>
      <c r="F16" s="6">
        <f>-0.6+0.04</f>
        <v>-0.55999999999999994</v>
      </c>
    </row>
    <row r="17" spans="1:6" x14ac:dyDescent="0.35">
      <c r="A17" s="8" t="s">
        <v>129</v>
      </c>
      <c r="B17" s="41">
        <f>+Kassaflöde!B17</f>
        <v>69.599999999999994</v>
      </c>
      <c r="C17" s="41">
        <f>+Kassaflöde!C17</f>
        <v>193.9</v>
      </c>
      <c r="D17" s="41">
        <v>203.47200000000001</v>
      </c>
      <c r="E17" s="41">
        <v>131.1</v>
      </c>
      <c r="F17" s="6">
        <f>F13+F15+F16</f>
        <v>215.48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18"/>
  <sheetViews>
    <sheetView showGridLines="0" zoomScale="82" zoomScaleNormal="82" workbookViewId="0">
      <selection activeCell="B13" sqref="B13:B16"/>
    </sheetView>
  </sheetViews>
  <sheetFormatPr defaultRowHeight="14.5" x14ac:dyDescent="0.35"/>
  <cols>
    <col min="1" max="1" width="70.26953125" bestFit="1" customWidth="1"/>
    <col min="2" max="2" width="11.453125" style="2" customWidth="1"/>
    <col min="3" max="4" width="11.7265625" style="2" customWidth="1"/>
    <col min="5" max="13" width="11.7265625" style="45" customWidth="1"/>
    <col min="14" max="14" width="11.7265625" style="57" customWidth="1"/>
    <col min="15" max="17" width="11.7265625" style="45" customWidth="1"/>
    <col min="18" max="18" width="11.7265625" style="2" customWidth="1"/>
  </cols>
  <sheetData>
    <row r="1" spans="1:22" ht="23.5" x14ac:dyDescent="0.55000000000000004">
      <c r="A1" s="33" t="s">
        <v>65</v>
      </c>
      <c r="B1" s="33"/>
      <c r="C1" s="33"/>
      <c r="D1" s="33"/>
      <c r="E1" s="47"/>
      <c r="F1" s="47"/>
      <c r="G1" s="47"/>
      <c r="H1" s="47"/>
      <c r="I1" s="47"/>
      <c r="J1" s="47"/>
      <c r="K1" s="47"/>
      <c r="L1" s="47"/>
      <c r="M1" s="47"/>
      <c r="N1" s="58"/>
      <c r="O1" s="47"/>
      <c r="P1" s="47"/>
      <c r="Q1" s="47"/>
      <c r="R1" s="33"/>
      <c r="S1" s="2"/>
      <c r="T1" s="2"/>
      <c r="U1" s="2"/>
      <c r="V1" s="2"/>
    </row>
    <row r="2" spans="1:22" s="32" customFormat="1" ht="29" x14ac:dyDescent="0.35">
      <c r="A2" s="28" t="s">
        <v>0</v>
      </c>
      <c r="B2" s="40" t="s">
        <v>237</v>
      </c>
      <c r="C2" s="34" t="s">
        <v>232</v>
      </c>
      <c r="D2" s="40" t="s">
        <v>228</v>
      </c>
      <c r="E2" s="40" t="s">
        <v>239</v>
      </c>
      <c r="F2" s="40" t="s">
        <v>221</v>
      </c>
      <c r="G2" s="40" t="s">
        <v>212</v>
      </c>
      <c r="H2" s="40" t="s">
        <v>203</v>
      </c>
      <c r="I2" s="40" t="s">
        <v>199</v>
      </c>
      <c r="J2" s="40" t="s">
        <v>193</v>
      </c>
      <c r="K2" s="40" t="s">
        <v>192</v>
      </c>
      <c r="L2" s="40" t="s">
        <v>185</v>
      </c>
      <c r="M2" s="40" t="s">
        <v>180</v>
      </c>
      <c r="N2" s="40" t="s">
        <v>142</v>
      </c>
      <c r="O2" s="40" t="s">
        <v>155</v>
      </c>
      <c r="P2" s="40" t="s">
        <v>154</v>
      </c>
      <c r="Q2" s="40" t="s">
        <v>150</v>
      </c>
      <c r="R2" s="34" t="s">
        <v>143</v>
      </c>
      <c r="S2" s="34" t="s">
        <v>156</v>
      </c>
      <c r="T2" s="34" t="s">
        <v>152</v>
      </c>
      <c r="U2" s="34" t="s">
        <v>148</v>
      </c>
      <c r="V2" s="34" t="s">
        <v>144</v>
      </c>
    </row>
    <row r="3" spans="1:22" x14ac:dyDescent="0.35">
      <c r="A3" s="9" t="s">
        <v>54</v>
      </c>
      <c r="B3" s="6">
        <f>79.6-11.7</f>
        <v>67.899999999999991</v>
      </c>
      <c r="C3" s="1">
        <v>55.4</v>
      </c>
      <c r="D3" s="6">
        <v>57.4</v>
      </c>
      <c r="E3" s="63">
        <v>82.4</v>
      </c>
      <c r="F3" s="63">
        <v>81.2</v>
      </c>
      <c r="G3" s="63">
        <v>96.3</v>
      </c>
      <c r="H3" s="63">
        <v>65.7</v>
      </c>
      <c r="I3" s="63">
        <v>88.5</v>
      </c>
      <c r="J3" s="63">
        <v>100.874</v>
      </c>
      <c r="K3" s="63">
        <v>24.2</v>
      </c>
      <c r="L3" s="63">
        <v>22.8</v>
      </c>
      <c r="M3" s="63">
        <v>36.9</v>
      </c>
      <c r="N3" s="50">
        <f>53.5+19.4-3.4-0.04</f>
        <v>69.459999999999994</v>
      </c>
      <c r="O3" s="50">
        <f>5.6+2.7</f>
        <v>8.3000000000000007</v>
      </c>
      <c r="P3" s="66">
        <v>60.7</v>
      </c>
      <c r="Q3" s="50">
        <v>42.5</v>
      </c>
      <c r="R3" s="1">
        <v>47.2</v>
      </c>
      <c r="S3" s="6">
        <v>27</v>
      </c>
      <c r="T3" s="6">
        <v>26.5</v>
      </c>
      <c r="U3" s="6">
        <v>29.26</v>
      </c>
      <c r="V3" s="6">
        <v>23.6</v>
      </c>
    </row>
    <row r="4" spans="1:22" x14ac:dyDescent="0.35">
      <c r="A4" s="9" t="s">
        <v>55</v>
      </c>
      <c r="B4" s="6">
        <v>-11.1</v>
      </c>
      <c r="C4" s="1">
        <v>-16.600000000000001</v>
      </c>
      <c r="D4" s="6">
        <v>-21</v>
      </c>
      <c r="E4" s="50">
        <v>-57.5</v>
      </c>
      <c r="F4" s="50">
        <v>-108.762</v>
      </c>
      <c r="G4" s="50">
        <v>-40.200000000000003</v>
      </c>
      <c r="H4" s="50">
        <v>36.6</v>
      </c>
      <c r="I4" s="50">
        <v>-18.2</v>
      </c>
      <c r="J4" s="50">
        <v>-53.73</v>
      </c>
      <c r="K4" s="50">
        <v>23.8</v>
      </c>
      <c r="L4" s="50">
        <v>60.9</v>
      </c>
      <c r="M4" s="50">
        <v>-11.26</v>
      </c>
      <c r="N4" s="50">
        <f>-33.1-0.04</f>
        <v>-33.14</v>
      </c>
      <c r="O4" s="50">
        <v>47.2</v>
      </c>
      <c r="P4" s="50">
        <v>11.59</v>
      </c>
      <c r="Q4" s="50">
        <v>6.1</v>
      </c>
      <c r="R4" s="1">
        <v>-43.6</v>
      </c>
      <c r="S4" s="6">
        <f>21.1-0.04</f>
        <v>21.060000000000002</v>
      </c>
      <c r="T4" s="6">
        <v>21.7</v>
      </c>
      <c r="U4" s="6">
        <v>-3.4</v>
      </c>
      <c r="V4" s="6">
        <v>-18.399999999999999</v>
      </c>
    </row>
    <row r="5" spans="1:22" x14ac:dyDescent="0.35">
      <c r="A5" s="18" t="s">
        <v>56</v>
      </c>
      <c r="B5" s="19">
        <f>SUM(B3:B4)</f>
        <v>56.79999999999999</v>
      </c>
      <c r="C5" s="38">
        <v>38.799999999999997</v>
      </c>
      <c r="D5" s="19">
        <v>57.4</v>
      </c>
      <c r="E5" s="64">
        <f t="shared" ref="E5" si="0">SUM(E3:E4)</f>
        <v>24.900000000000006</v>
      </c>
      <c r="F5" s="64">
        <f t="shared" ref="F5" si="1">SUM(F3:F4)</f>
        <v>-27.561999999999998</v>
      </c>
      <c r="G5" s="64">
        <f t="shared" ref="G5:H5" si="2">SUM(G3:G4)</f>
        <v>56.099999999999994</v>
      </c>
      <c r="H5" s="64">
        <f t="shared" si="2"/>
        <v>102.30000000000001</v>
      </c>
      <c r="I5" s="64">
        <f t="shared" ref="I5" si="3">SUM(I3:I4)</f>
        <v>70.3</v>
      </c>
      <c r="J5" s="64">
        <f t="shared" ref="J5:K5" si="4">SUM(J3:J4)</f>
        <v>47.143999999999998</v>
      </c>
      <c r="K5" s="64">
        <f t="shared" si="4"/>
        <v>48</v>
      </c>
      <c r="L5" s="64">
        <f t="shared" ref="L5:M5" si="5">SUM(L3:L4)</f>
        <v>83.7</v>
      </c>
      <c r="M5" s="64">
        <f t="shared" si="5"/>
        <v>25.64</v>
      </c>
      <c r="N5" s="51">
        <f t="shared" ref="N5:O5" si="6">SUM(N3:N4)</f>
        <v>36.319999999999993</v>
      </c>
      <c r="O5" s="51">
        <f t="shared" si="6"/>
        <v>55.5</v>
      </c>
      <c r="P5" s="51">
        <f t="shared" ref="P5" si="7">SUM(P3:P4)</f>
        <v>72.290000000000006</v>
      </c>
      <c r="Q5" s="51">
        <f t="shared" ref="Q5" si="8">SUM(Q3:Q4)</f>
        <v>48.6</v>
      </c>
      <c r="R5" s="38">
        <f t="shared" ref="R5:V5" si="9">SUM(R3:R4)</f>
        <v>3.6000000000000014</v>
      </c>
      <c r="S5" s="19">
        <f t="shared" si="9"/>
        <v>48.06</v>
      </c>
      <c r="T5" s="19">
        <f t="shared" si="9"/>
        <v>48.2</v>
      </c>
      <c r="U5" s="19">
        <f t="shared" si="9"/>
        <v>25.860000000000003</v>
      </c>
      <c r="V5" s="19">
        <f t="shared" si="9"/>
        <v>5.2000000000000028</v>
      </c>
    </row>
    <row r="6" spans="1:22" s="2" customFormat="1" x14ac:dyDescent="0.35">
      <c r="A6" s="9"/>
      <c r="B6" s="6"/>
      <c r="C6" s="1"/>
      <c r="D6" s="6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1"/>
      <c r="S6" s="6"/>
      <c r="T6" s="6"/>
      <c r="U6" s="6"/>
      <c r="V6" s="6"/>
    </row>
    <row r="7" spans="1:22" x14ac:dyDescent="0.35">
      <c r="A7" s="18" t="s">
        <v>57</v>
      </c>
      <c r="B7" s="19">
        <v>-16.899999999999999</v>
      </c>
      <c r="C7" s="38">
        <v>-40.200000000000003</v>
      </c>
      <c r="D7" s="19">
        <v>-15.5</v>
      </c>
      <c r="E7" s="64">
        <v>-15.8</v>
      </c>
      <c r="F7" s="64">
        <v>-15.79</v>
      </c>
      <c r="G7" s="64">
        <v>-12.9</v>
      </c>
      <c r="H7" s="64">
        <v>-12.9</v>
      </c>
      <c r="I7" s="64">
        <v>-13</v>
      </c>
      <c r="J7" s="64">
        <v>-84.914000000000001</v>
      </c>
      <c r="K7" s="64">
        <v>-14.3</v>
      </c>
      <c r="L7" s="64">
        <v>-9.1</v>
      </c>
      <c r="M7" s="64">
        <v>-9</v>
      </c>
      <c r="N7" s="51">
        <v>-12.4</v>
      </c>
      <c r="O7" s="51">
        <v>1.454</v>
      </c>
      <c r="P7" s="51">
        <v>-18.356999999999999</v>
      </c>
      <c r="Q7" s="51">
        <v>-162.69999999999999</v>
      </c>
      <c r="R7" s="38">
        <v>-4.5999999999999996</v>
      </c>
      <c r="S7" s="19">
        <f>-5.1-0.04</f>
        <v>-5.14</v>
      </c>
      <c r="T7" s="19">
        <v>-3.6579999999999999</v>
      </c>
      <c r="U7" s="19">
        <v>-7.84</v>
      </c>
      <c r="V7" s="19">
        <v>-5.4</v>
      </c>
    </row>
    <row r="8" spans="1:22" s="2" customFormat="1" x14ac:dyDescent="0.35">
      <c r="A8" s="9"/>
      <c r="B8" s="6"/>
      <c r="C8" s="1"/>
      <c r="D8" s="6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1"/>
      <c r="S8" s="6"/>
      <c r="T8" s="6"/>
      <c r="U8" s="6"/>
      <c r="V8" s="6"/>
    </row>
    <row r="9" spans="1:22" x14ac:dyDescent="0.35">
      <c r="A9" s="18" t="s">
        <v>58</v>
      </c>
      <c r="B9" s="19">
        <v>39.799999999999997</v>
      </c>
      <c r="C9" s="38">
        <v>-1.4</v>
      </c>
      <c r="D9" s="19">
        <v>41.9</v>
      </c>
      <c r="E9" s="51">
        <v>9</v>
      </c>
      <c r="F9" s="51">
        <v>-32.645000000000003</v>
      </c>
      <c r="G9" s="51">
        <v>43.3</v>
      </c>
      <c r="H9" s="51">
        <v>89.5</v>
      </c>
      <c r="I9" s="51">
        <v>57.3</v>
      </c>
      <c r="J9" s="51">
        <v>-37.799999999999997</v>
      </c>
      <c r="K9" s="51">
        <v>33.713000000000001</v>
      </c>
      <c r="L9" s="51">
        <v>74.599999999999994</v>
      </c>
      <c r="M9" s="51">
        <v>16.600000000000001</v>
      </c>
      <c r="N9" s="51">
        <f>N5+N7</f>
        <v>23.919999999999995</v>
      </c>
      <c r="O9" s="51">
        <f>54.291+2.7</f>
        <v>56.991</v>
      </c>
      <c r="P9" s="51">
        <f>47.802+6.2</f>
        <v>54.002000000000002</v>
      </c>
      <c r="Q9" s="51">
        <v>-114.1</v>
      </c>
      <c r="R9" s="38">
        <v>-1</v>
      </c>
      <c r="S9" s="19">
        <f>SUM(S5:S7)</f>
        <v>42.92</v>
      </c>
      <c r="T9" s="19">
        <f>SUM(T5:T7)</f>
        <v>44.542000000000002</v>
      </c>
      <c r="U9" s="19">
        <f>SUM(U5:U7)</f>
        <v>18.020000000000003</v>
      </c>
      <c r="V9" s="19">
        <f>SUM(V5:V7)</f>
        <v>-0.19999999999999751</v>
      </c>
    </row>
    <row r="10" spans="1:22" s="2" customFormat="1" x14ac:dyDescent="0.35">
      <c r="A10" s="9"/>
      <c r="B10" s="6"/>
      <c r="C10" s="1"/>
      <c r="D10" s="6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1"/>
      <c r="S10" s="6"/>
      <c r="T10" s="6"/>
      <c r="U10" s="6"/>
      <c r="V10" s="6"/>
    </row>
    <row r="11" spans="1:22" x14ac:dyDescent="0.35">
      <c r="A11" s="18" t="s">
        <v>59</v>
      </c>
      <c r="B11" s="19">
        <v>-7</v>
      </c>
      <c r="C11" s="38">
        <v>-5.8</v>
      </c>
      <c r="D11" s="19">
        <v>-7</v>
      </c>
      <c r="E11" s="51">
        <v>-126.5</v>
      </c>
      <c r="F11" s="51">
        <v>-1.6870000000000001</v>
      </c>
      <c r="G11" s="51">
        <v>-9.1999999999999993</v>
      </c>
      <c r="H11" s="51">
        <v>1.9750000000000001</v>
      </c>
      <c r="I11" s="51">
        <v>-68</v>
      </c>
      <c r="J11" s="51">
        <v>-87.177000000000007</v>
      </c>
      <c r="K11" s="51">
        <v>-53.3</v>
      </c>
      <c r="L11" s="51">
        <v>-1.6</v>
      </c>
      <c r="M11" s="51">
        <v>-15.3</v>
      </c>
      <c r="N11" s="51">
        <v>-6.1</v>
      </c>
      <c r="O11" s="51">
        <f>-1.746-2.7</f>
        <v>-4.4459999999999997</v>
      </c>
      <c r="P11" s="51">
        <f>-12.054-6.2</f>
        <v>-18.254000000000001</v>
      </c>
      <c r="Q11" s="51">
        <v>-52.3</v>
      </c>
      <c r="R11" s="38">
        <v>-5.2</v>
      </c>
      <c r="S11" s="19">
        <v>-1.55</v>
      </c>
      <c r="T11" s="19">
        <v>-0.54800000000000004</v>
      </c>
      <c r="U11" s="19">
        <v>-42.3</v>
      </c>
      <c r="V11" s="19">
        <v>-0.8</v>
      </c>
    </row>
    <row r="12" spans="1:22" s="2" customFormat="1" x14ac:dyDescent="0.35">
      <c r="A12" s="9"/>
      <c r="B12" s="6"/>
      <c r="C12" s="1"/>
      <c r="D12" s="6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1"/>
      <c r="S12" s="6"/>
      <c r="T12" s="6"/>
      <c r="U12" s="6"/>
      <c r="V12" s="6"/>
    </row>
    <row r="13" spans="1:22" x14ac:dyDescent="0.35">
      <c r="A13" s="18" t="s">
        <v>60</v>
      </c>
      <c r="B13" s="19">
        <v>32.799999999999997</v>
      </c>
      <c r="C13" s="38">
        <v>-124</v>
      </c>
      <c r="D13" s="19">
        <v>-116.9</v>
      </c>
      <c r="E13" s="51">
        <f>-117.5-41.7</f>
        <v>-159.19999999999999</v>
      </c>
      <c r="F13" s="51">
        <f t="shared" ref="F13" si="10">F9+F11</f>
        <v>-34.332000000000001</v>
      </c>
      <c r="G13" s="51">
        <f t="shared" ref="G13:H13" si="11">G9+G11</f>
        <v>34.099999999999994</v>
      </c>
      <c r="H13" s="51">
        <f t="shared" si="11"/>
        <v>91.474999999999994</v>
      </c>
      <c r="I13" s="51">
        <f t="shared" ref="I13:N13" si="12">I9+I11</f>
        <v>-10.700000000000003</v>
      </c>
      <c r="J13" s="51">
        <f t="shared" si="12"/>
        <v>-124.977</v>
      </c>
      <c r="K13" s="51">
        <f t="shared" si="12"/>
        <v>-19.586999999999996</v>
      </c>
      <c r="L13" s="51">
        <f t="shared" si="12"/>
        <v>73</v>
      </c>
      <c r="M13" s="51">
        <f t="shared" si="12"/>
        <v>1.3000000000000007</v>
      </c>
      <c r="N13" s="51">
        <f t="shared" si="12"/>
        <v>17.819999999999993</v>
      </c>
      <c r="O13" s="51">
        <v>52.545000000000002</v>
      </c>
      <c r="P13" s="51">
        <v>35.747999999999998</v>
      </c>
      <c r="Q13" s="51">
        <v>-166.4</v>
      </c>
      <c r="R13" s="38">
        <v>-6.2</v>
      </c>
      <c r="S13" s="19">
        <f>SUM(S9:S11)</f>
        <v>41.370000000000005</v>
      </c>
      <c r="T13" s="19">
        <f>SUM(T9:T11)</f>
        <v>43.994</v>
      </c>
      <c r="U13" s="19">
        <f>SUM(U9:U11)</f>
        <v>-24.279999999999994</v>
      </c>
      <c r="V13" s="19">
        <f>SUM(V9:V11)</f>
        <v>-0.99999999999999756</v>
      </c>
    </row>
    <row r="14" spans="1:22" s="2" customFormat="1" x14ac:dyDescent="0.35">
      <c r="A14" s="9"/>
      <c r="B14" s="6"/>
      <c r="C14" s="1"/>
      <c r="D14" s="6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1"/>
      <c r="S14" s="6"/>
      <c r="T14" s="6"/>
      <c r="U14" s="6"/>
      <c r="V14" s="6"/>
    </row>
    <row r="15" spans="1:22" x14ac:dyDescent="0.35">
      <c r="A15" s="10" t="s">
        <v>61</v>
      </c>
      <c r="B15" s="6">
        <f>C17</f>
        <v>69.599999999999994</v>
      </c>
      <c r="C15" s="1">
        <f>+D15</f>
        <v>193.9</v>
      </c>
      <c r="D15" s="6">
        <v>193.9</v>
      </c>
      <c r="E15" s="50">
        <v>193.87200000000001</v>
      </c>
      <c r="F15" s="50">
        <v>193.87200000000001</v>
      </c>
      <c r="G15" s="50">
        <f>+H17</f>
        <v>159.83500000000001</v>
      </c>
      <c r="H15" s="50">
        <v>68.260000000000005</v>
      </c>
      <c r="I15" s="50">
        <v>77.900000000000006</v>
      </c>
      <c r="J15" s="50">
        <v>203.5</v>
      </c>
      <c r="K15" s="50">
        <v>223.1</v>
      </c>
      <c r="L15" s="50">
        <v>150.4</v>
      </c>
      <c r="M15" s="50">
        <v>148.34</v>
      </c>
      <c r="N15" s="50">
        <v>131.1</v>
      </c>
      <c r="O15" s="50">
        <v>78.7</v>
      </c>
      <c r="P15" s="50">
        <v>42.9</v>
      </c>
      <c r="Q15" s="50">
        <v>209.6</v>
      </c>
      <c r="R15" s="1">
        <v>215.45</v>
      </c>
      <c r="S15" s="6">
        <v>174.4</v>
      </c>
      <c r="T15" s="6">
        <v>130.69999999999999</v>
      </c>
      <c r="U15" s="6">
        <v>155</v>
      </c>
      <c r="V15" s="6">
        <v>156</v>
      </c>
    </row>
    <row r="16" spans="1:22" x14ac:dyDescent="0.35">
      <c r="A16" s="10" t="s">
        <v>62</v>
      </c>
      <c r="B16" s="6">
        <v>0.2</v>
      </c>
      <c r="C16" s="1">
        <v>-0.1</v>
      </c>
      <c r="D16" s="6">
        <v>-0.1</v>
      </c>
      <c r="E16" s="50">
        <v>-0.6</v>
      </c>
      <c r="F16" s="50">
        <v>0.34399999999999997</v>
      </c>
      <c r="G16" s="50">
        <v>0.1</v>
      </c>
      <c r="H16" s="50">
        <v>0.1</v>
      </c>
      <c r="I16" s="50">
        <v>1.1000000000000001</v>
      </c>
      <c r="J16" s="50">
        <v>-0.6</v>
      </c>
      <c r="K16" s="50">
        <v>0</v>
      </c>
      <c r="L16" s="50">
        <v>-0.3</v>
      </c>
      <c r="M16" s="50">
        <v>0.74</v>
      </c>
      <c r="N16" s="50">
        <v>-0.6</v>
      </c>
      <c r="O16" s="50">
        <v>-0.1</v>
      </c>
      <c r="P16" s="50">
        <v>0.1</v>
      </c>
      <c r="Q16" s="50">
        <v>-0.3</v>
      </c>
      <c r="R16" s="1">
        <v>0.36</v>
      </c>
      <c r="S16" s="6">
        <v>-0.3</v>
      </c>
      <c r="T16" s="6">
        <v>-0.3</v>
      </c>
      <c r="U16" s="62" t="s">
        <v>43</v>
      </c>
      <c r="V16" s="62" t="s">
        <v>43</v>
      </c>
    </row>
    <row r="17" spans="1:22" x14ac:dyDescent="0.35">
      <c r="A17" s="11" t="s">
        <v>63</v>
      </c>
      <c r="B17" s="6">
        <v>102.7</v>
      </c>
      <c r="C17" s="1">
        <v>69.599999999999994</v>
      </c>
      <c r="D17" s="6">
        <v>76.8</v>
      </c>
      <c r="E17" s="50">
        <v>41.8</v>
      </c>
      <c r="F17" s="50">
        <v>159.88399999999999</v>
      </c>
      <c r="G17" s="50">
        <v>193.9</v>
      </c>
      <c r="H17" s="50">
        <f>H13+H15+H16</f>
        <v>159.83500000000001</v>
      </c>
      <c r="I17" s="50">
        <f t="shared" ref="I17:N17" si="13">I13+I15+I16</f>
        <v>68.3</v>
      </c>
      <c r="J17" s="50">
        <f t="shared" si="13"/>
        <v>77.923000000000002</v>
      </c>
      <c r="K17" s="50">
        <f t="shared" si="13"/>
        <v>203.51300000000001</v>
      </c>
      <c r="L17" s="50">
        <f t="shared" si="13"/>
        <v>223.1</v>
      </c>
      <c r="M17" s="50">
        <f t="shared" si="13"/>
        <v>150.38000000000002</v>
      </c>
      <c r="N17" s="50">
        <f t="shared" si="13"/>
        <v>148.32</v>
      </c>
      <c r="O17" s="50">
        <v>131.1</v>
      </c>
      <c r="P17" s="50">
        <v>78.69</v>
      </c>
      <c r="Q17" s="50">
        <v>42.9</v>
      </c>
      <c r="R17" s="1">
        <v>209.61</v>
      </c>
      <c r="S17" s="6">
        <f>SUM(S13:S16)</f>
        <v>215.47</v>
      </c>
      <c r="T17" s="6">
        <f>SUM(T13:T16)</f>
        <v>174.39399999999998</v>
      </c>
      <c r="U17" s="6">
        <f>SUM(U13:U16)</f>
        <v>130.72</v>
      </c>
      <c r="V17" s="6">
        <f>SUM(V13:V16)</f>
        <v>155</v>
      </c>
    </row>
    <row r="18" spans="1:22" x14ac:dyDescent="0.35">
      <c r="B18" s="6"/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1" tint="0.499984740745262"/>
  </sheetPr>
  <dimension ref="A1:Z17"/>
  <sheetViews>
    <sheetView showGridLines="0" tabSelected="1" workbookViewId="0">
      <selection activeCell="B13" sqref="B13"/>
    </sheetView>
  </sheetViews>
  <sheetFormatPr defaultColWidth="9.1796875" defaultRowHeight="14.5" x14ac:dyDescent="0.35"/>
  <cols>
    <col min="1" max="1" width="70.26953125" style="2" bestFit="1" customWidth="1"/>
    <col min="2" max="2" width="12.54296875" style="2" customWidth="1"/>
    <col min="3" max="4" width="11.7265625" style="2" customWidth="1"/>
    <col min="5" max="13" width="11.7265625" style="45" customWidth="1"/>
    <col min="14" max="14" width="11.7265625" style="57" customWidth="1"/>
    <col min="15" max="17" width="11.7265625" style="45" customWidth="1"/>
    <col min="18" max="18" width="11.7265625" style="2" customWidth="1"/>
    <col min="19" max="16384" width="9.1796875" style="2"/>
  </cols>
  <sheetData>
    <row r="1" spans="1:26" ht="23.5" x14ac:dyDescent="0.55000000000000004">
      <c r="A1" s="33" t="s">
        <v>141</v>
      </c>
      <c r="B1" s="33"/>
      <c r="C1" s="33"/>
      <c r="D1" s="33"/>
      <c r="E1" s="47"/>
      <c r="F1" s="47"/>
      <c r="G1" s="47"/>
      <c r="H1" s="47"/>
      <c r="I1" s="47"/>
      <c r="J1" s="47"/>
      <c r="K1" s="47"/>
      <c r="L1" s="47"/>
      <c r="M1" s="47"/>
      <c r="N1" s="58"/>
      <c r="O1" s="47"/>
      <c r="P1" s="47"/>
      <c r="Q1" s="47"/>
      <c r="R1" s="33"/>
    </row>
    <row r="2" spans="1:26" s="32" customFormat="1" ht="29" x14ac:dyDescent="0.35">
      <c r="A2" s="28" t="s">
        <v>0</v>
      </c>
      <c r="B2" s="40" t="s">
        <v>237</v>
      </c>
      <c r="C2" s="34" t="s">
        <v>232</v>
      </c>
      <c r="D2" s="40" t="s">
        <v>229</v>
      </c>
      <c r="E2" s="40" t="s">
        <v>223</v>
      </c>
      <c r="F2" s="40" t="s">
        <v>221</v>
      </c>
      <c r="G2" s="40" t="s">
        <v>213</v>
      </c>
      <c r="H2" s="40" t="s">
        <v>203</v>
      </c>
      <c r="I2" s="40" t="s">
        <v>199</v>
      </c>
      <c r="J2" s="40" t="s">
        <v>193</v>
      </c>
      <c r="K2" s="40" t="s">
        <v>214</v>
      </c>
      <c r="L2" s="40" t="s">
        <v>185</v>
      </c>
      <c r="M2" s="40" t="s">
        <v>180</v>
      </c>
      <c r="N2" s="40" t="s">
        <v>142</v>
      </c>
      <c r="O2" s="40" t="s">
        <v>215</v>
      </c>
      <c r="P2" s="40" t="s">
        <v>154</v>
      </c>
      <c r="Q2" s="40" t="s">
        <v>150</v>
      </c>
      <c r="R2" s="34" t="s">
        <v>143</v>
      </c>
      <c r="S2" s="40" t="s">
        <v>216</v>
      </c>
      <c r="T2" s="34" t="s">
        <v>152</v>
      </c>
      <c r="U2" s="34" t="s">
        <v>148</v>
      </c>
      <c r="V2" s="34" t="s">
        <v>144</v>
      </c>
      <c r="W2" s="40" t="s">
        <v>217</v>
      </c>
      <c r="X2" s="34" t="s">
        <v>153</v>
      </c>
      <c r="Y2" s="34" t="s">
        <v>149</v>
      </c>
      <c r="Z2" s="34" t="s">
        <v>145</v>
      </c>
    </row>
    <row r="3" spans="1:26" x14ac:dyDescent="0.35">
      <c r="A3" s="9" t="s">
        <v>132</v>
      </c>
      <c r="B3" s="6">
        <f>'Kassaflöde-3M'!B3</f>
        <v>67.899999999999991</v>
      </c>
      <c r="C3" s="1">
        <f>+'Kassaflöde-3M'!C3</f>
        <v>55.4</v>
      </c>
      <c r="D3" s="63">
        <f>+'Kassaflöde-3M'!D3</f>
        <v>57.4</v>
      </c>
      <c r="E3" s="63">
        <f>+'Kassaflöde-3M'!E3</f>
        <v>82.4</v>
      </c>
      <c r="F3" s="63">
        <f>+'Kassaflöde-3M'!F3</f>
        <v>81.2</v>
      </c>
      <c r="G3" s="63">
        <f>+'Kassaflöde-3M'!G3</f>
        <v>96.3</v>
      </c>
      <c r="H3" s="63">
        <v>65.7</v>
      </c>
      <c r="I3" s="63">
        <v>88.5</v>
      </c>
      <c r="J3" s="63">
        <v>100.874</v>
      </c>
      <c r="K3" s="63">
        <v>24.2</v>
      </c>
      <c r="L3" s="63">
        <v>22.8</v>
      </c>
      <c r="M3" s="63">
        <v>36.9</v>
      </c>
      <c r="N3" s="50">
        <f>53.5+19.4-3.4-0.04</f>
        <v>69.459999999999994</v>
      </c>
      <c r="O3" s="50">
        <v>8.3000000000000007</v>
      </c>
      <c r="P3" s="66">
        <v>60.7</v>
      </c>
      <c r="Q3" s="50">
        <v>42.5</v>
      </c>
      <c r="R3" s="1">
        <v>47.2</v>
      </c>
      <c r="S3" s="6">
        <v>27</v>
      </c>
      <c r="T3" s="6">
        <v>26.5</v>
      </c>
      <c r="U3" s="6">
        <v>29.26</v>
      </c>
      <c r="V3" s="6">
        <v>23.6</v>
      </c>
      <c r="W3" s="6">
        <v>12.9</v>
      </c>
      <c r="X3" s="6">
        <v>20.399999999999999</v>
      </c>
      <c r="Y3" s="6">
        <v>25.2</v>
      </c>
      <c r="Z3" s="6">
        <f>30.7+11.3-6.1</f>
        <v>35.9</v>
      </c>
    </row>
    <row r="4" spans="1:26" x14ac:dyDescent="0.35">
      <c r="A4" s="9" t="s">
        <v>123</v>
      </c>
      <c r="B4" s="6">
        <f>'Kassaflöde-3M'!B4</f>
        <v>-11.1</v>
      </c>
      <c r="C4" s="1">
        <f>+'Kassaflöde-3M'!C4</f>
        <v>-16.600000000000001</v>
      </c>
      <c r="D4" s="50">
        <f>+'Kassaflöde-3M'!D4</f>
        <v>-21</v>
      </c>
      <c r="E4" s="50">
        <f>+'Kassaflöde-3M'!E4</f>
        <v>-57.5</v>
      </c>
      <c r="F4" s="50">
        <f>+'Kassaflöde-3M'!F4</f>
        <v>-108.762</v>
      </c>
      <c r="G4" s="50">
        <f>+'Kassaflöde-3M'!G4</f>
        <v>-40.200000000000003</v>
      </c>
      <c r="H4" s="50">
        <v>36.6</v>
      </c>
      <c r="I4" s="50">
        <v>-18.2</v>
      </c>
      <c r="J4" s="50">
        <v>-53.73</v>
      </c>
      <c r="K4" s="50">
        <v>23.8</v>
      </c>
      <c r="L4" s="50">
        <v>60.9</v>
      </c>
      <c r="M4" s="50">
        <v>-11.26</v>
      </c>
      <c r="N4" s="50">
        <f>-33.1-0.04</f>
        <v>-33.14</v>
      </c>
      <c r="O4" s="50">
        <v>47.2</v>
      </c>
      <c r="P4" s="50">
        <v>11.59</v>
      </c>
      <c r="Q4" s="50">
        <v>6.1</v>
      </c>
      <c r="R4" s="1">
        <v>-43.6</v>
      </c>
      <c r="S4" s="6">
        <f>21.1-0.04</f>
        <v>21.060000000000002</v>
      </c>
      <c r="T4" s="6">
        <v>21.7</v>
      </c>
      <c r="U4" s="6">
        <v>-3.4</v>
      </c>
      <c r="V4" s="6">
        <v>-18.399999999999999</v>
      </c>
      <c r="W4" s="6">
        <v>27.2</v>
      </c>
      <c r="X4" s="6">
        <v>16.7</v>
      </c>
      <c r="Y4" s="6">
        <v>9.8000000000000007</v>
      </c>
      <c r="Z4" s="6">
        <v>-41.7</v>
      </c>
    </row>
    <row r="5" spans="1:26" x14ac:dyDescent="0.35">
      <c r="A5" s="18" t="s">
        <v>124</v>
      </c>
      <c r="B5" s="19">
        <f>'Kassaflöde-3M'!B5</f>
        <v>56.79999999999999</v>
      </c>
      <c r="C5" s="38">
        <f>+'Kassaflöde-3M'!C5</f>
        <v>38.799999999999997</v>
      </c>
      <c r="D5" s="64">
        <f>+'Kassaflöde-3M'!D5</f>
        <v>57.4</v>
      </c>
      <c r="E5" s="64">
        <f>+'Kassaflöde-3M'!E5</f>
        <v>24.900000000000006</v>
      </c>
      <c r="F5" s="64">
        <f>+'Kassaflöde-3M'!F5</f>
        <v>-27.561999999999998</v>
      </c>
      <c r="G5" s="64">
        <f>+'Kassaflöde-3M'!G5</f>
        <v>56.099999999999994</v>
      </c>
      <c r="H5" s="64">
        <f t="shared" ref="H5" si="0">SUM(H3:H4)</f>
        <v>102.30000000000001</v>
      </c>
      <c r="I5" s="64">
        <f>SUM(I3:I4)</f>
        <v>70.3</v>
      </c>
      <c r="J5" s="64">
        <v>47.143999999999998</v>
      </c>
      <c r="K5" s="64">
        <f t="shared" ref="K5" si="1">SUM(K3:K4)</f>
        <v>48</v>
      </c>
      <c r="L5" s="64">
        <f t="shared" ref="L5" si="2">SUM(L3:L4)</f>
        <v>83.7</v>
      </c>
      <c r="M5" s="64">
        <v>25.6</v>
      </c>
      <c r="N5" s="51">
        <f t="shared" ref="N5" si="3">SUM(N3:N4)</f>
        <v>36.319999999999993</v>
      </c>
      <c r="O5" s="51">
        <v>55.5</v>
      </c>
      <c r="P5" s="51">
        <v>72.359000000000009</v>
      </c>
      <c r="Q5" s="51">
        <f t="shared" ref="Q5:Z5" si="4">SUM(Q3:Q4)</f>
        <v>48.6</v>
      </c>
      <c r="R5" s="38">
        <f t="shared" si="4"/>
        <v>3.6000000000000014</v>
      </c>
      <c r="S5" s="19">
        <f t="shared" si="4"/>
        <v>48.06</v>
      </c>
      <c r="T5" s="19">
        <f t="shared" si="4"/>
        <v>48.2</v>
      </c>
      <c r="U5" s="19">
        <f t="shared" si="4"/>
        <v>25.860000000000003</v>
      </c>
      <c r="V5" s="19">
        <f t="shared" si="4"/>
        <v>5.2000000000000028</v>
      </c>
      <c r="W5" s="19">
        <f t="shared" si="4"/>
        <v>40.1</v>
      </c>
      <c r="X5" s="19">
        <f t="shared" si="4"/>
        <v>37.099999999999994</v>
      </c>
      <c r="Y5" s="19">
        <f t="shared" si="4"/>
        <v>35</v>
      </c>
      <c r="Z5" s="19">
        <f t="shared" si="4"/>
        <v>-5.8000000000000043</v>
      </c>
    </row>
    <row r="6" spans="1:26" x14ac:dyDescent="0.35">
      <c r="A6" s="9"/>
      <c r="B6" s="6"/>
      <c r="C6" s="1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1"/>
      <c r="S6" s="6"/>
      <c r="T6" s="6"/>
      <c r="U6" s="6"/>
      <c r="V6" s="6"/>
      <c r="W6" s="6"/>
      <c r="X6" s="6"/>
      <c r="Y6" s="6"/>
      <c r="Z6" s="6"/>
    </row>
    <row r="7" spans="1:26" x14ac:dyDescent="0.35">
      <c r="A7" s="18" t="s">
        <v>125</v>
      </c>
      <c r="B7" s="19">
        <f>'Kassaflöde-3M'!B7</f>
        <v>-16.899999999999999</v>
      </c>
      <c r="C7" s="38">
        <f>+'Kassaflöde-3M'!C7</f>
        <v>-40.200000000000003</v>
      </c>
      <c r="D7" s="64">
        <f>+'Kassaflöde-3M'!D7</f>
        <v>-15.5</v>
      </c>
      <c r="E7" s="64">
        <f>+'Kassaflöde-3M'!E7</f>
        <v>-15.8</v>
      </c>
      <c r="F7" s="64">
        <f>+'Kassaflöde-3M'!F7</f>
        <v>-15.79</v>
      </c>
      <c r="G7" s="64">
        <f>+'Kassaflöde-3M'!G7</f>
        <v>-12.9</v>
      </c>
      <c r="H7" s="64">
        <v>-12.9</v>
      </c>
      <c r="I7" s="64">
        <v>-13</v>
      </c>
      <c r="J7" s="64">
        <v>-84.914000000000001</v>
      </c>
      <c r="K7" s="64">
        <v>-14.3</v>
      </c>
      <c r="L7" s="64">
        <v>-9.1</v>
      </c>
      <c r="M7" s="64">
        <v>-9</v>
      </c>
      <c r="N7" s="51">
        <v>-12.4</v>
      </c>
      <c r="O7" s="51">
        <v>1.454</v>
      </c>
      <c r="P7" s="51">
        <v>-18.356999999999999</v>
      </c>
      <c r="Q7" s="51">
        <v>-162.69999999999999</v>
      </c>
      <c r="R7" s="38">
        <v>-4.5999999999999996</v>
      </c>
      <c r="S7" s="19">
        <f>-5.1-0.04</f>
        <v>-5.14</v>
      </c>
      <c r="T7" s="19">
        <v>-3.6579999999999999</v>
      </c>
      <c r="U7" s="19">
        <v>-7.84</v>
      </c>
      <c r="V7" s="19">
        <v>-5.4</v>
      </c>
      <c r="W7" s="19">
        <v>-4.7329999999999997</v>
      </c>
      <c r="X7" s="19">
        <v>-9.6</v>
      </c>
      <c r="Y7" s="19">
        <v>-9.6</v>
      </c>
      <c r="Z7" s="19">
        <v>-11.06</v>
      </c>
    </row>
    <row r="8" spans="1:26" x14ac:dyDescent="0.35">
      <c r="A8" s="9"/>
      <c r="B8" s="6"/>
      <c r="C8" s="1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1"/>
      <c r="S8" s="6"/>
      <c r="T8" s="6"/>
      <c r="U8" s="6"/>
      <c r="V8" s="6"/>
      <c r="W8" s="6"/>
      <c r="X8" s="6"/>
      <c r="Y8" s="6"/>
      <c r="Z8" s="6"/>
    </row>
    <row r="9" spans="1:26" x14ac:dyDescent="0.35">
      <c r="A9" s="18" t="s">
        <v>126</v>
      </c>
      <c r="B9" s="19">
        <f>'Kassaflöde-3M'!B9</f>
        <v>39.799999999999997</v>
      </c>
      <c r="C9" s="38">
        <f>+'Kassaflöde-3M'!C9</f>
        <v>-1.4</v>
      </c>
      <c r="D9" s="51">
        <f>+'Kassaflöde-3M'!D9</f>
        <v>41.9</v>
      </c>
      <c r="E9" s="51">
        <f>+'Kassaflöde-3M'!E9</f>
        <v>9</v>
      </c>
      <c r="F9" s="51">
        <f>+'Kassaflöde-3M'!F9</f>
        <v>-32.645000000000003</v>
      </c>
      <c r="G9" s="51">
        <f>+'Kassaflöde-3M'!G9</f>
        <v>43.3</v>
      </c>
      <c r="H9" s="51">
        <v>89.5</v>
      </c>
      <c r="I9" s="51">
        <v>57.3</v>
      </c>
      <c r="J9" s="51">
        <v>-37.799999999999997</v>
      </c>
      <c r="K9" s="51">
        <v>33.713000000000001</v>
      </c>
      <c r="L9" s="51">
        <v>74.599999999999994</v>
      </c>
      <c r="M9" s="51">
        <v>16.600000000000001</v>
      </c>
      <c r="N9" s="51">
        <f>N5+N7</f>
        <v>23.919999999999995</v>
      </c>
      <c r="O9" s="51">
        <v>56.991</v>
      </c>
      <c r="P9" s="51">
        <v>54.002000000000002</v>
      </c>
      <c r="Q9" s="51">
        <v>-114.1</v>
      </c>
      <c r="R9" s="38">
        <v>-1</v>
      </c>
      <c r="S9" s="19">
        <f>SUM(S5:S7)</f>
        <v>42.92</v>
      </c>
      <c r="T9" s="19">
        <f>SUM(T5:T7)</f>
        <v>44.542000000000002</v>
      </c>
      <c r="U9" s="19">
        <f>SUM(U5:U7)</f>
        <v>18.020000000000003</v>
      </c>
      <c r="V9" s="19">
        <f>SUM(V5:V7)</f>
        <v>-0.19999999999999751</v>
      </c>
      <c r="W9" s="19">
        <f>SUM(W5:W7)</f>
        <v>35.367000000000004</v>
      </c>
      <c r="X9" s="19">
        <f t="shared" ref="X9:Z9" si="5">SUM(X5:X7)</f>
        <v>27.499999999999993</v>
      </c>
      <c r="Y9" s="19">
        <f t="shared" si="5"/>
        <v>25.4</v>
      </c>
      <c r="Z9" s="19">
        <f t="shared" si="5"/>
        <v>-16.860000000000007</v>
      </c>
    </row>
    <row r="10" spans="1:26" x14ac:dyDescent="0.35">
      <c r="A10" s="9"/>
      <c r="B10" s="6"/>
      <c r="C10" s="1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1"/>
      <c r="S10" s="6"/>
      <c r="T10" s="6"/>
      <c r="U10" s="6"/>
      <c r="V10" s="6"/>
      <c r="W10" s="6"/>
      <c r="X10" s="6"/>
      <c r="Y10" s="6"/>
      <c r="Z10" s="6"/>
    </row>
    <row r="11" spans="1:26" x14ac:dyDescent="0.35">
      <c r="A11" s="18" t="s">
        <v>127</v>
      </c>
      <c r="B11" s="19">
        <f>'Kassaflöde-3M'!B11</f>
        <v>-7</v>
      </c>
      <c r="C11" s="38">
        <f>+'Kassaflöde-3M'!C11</f>
        <v>-5.8</v>
      </c>
      <c r="D11" s="51">
        <f>+'Kassaflöde-3M'!D11</f>
        <v>-7</v>
      </c>
      <c r="E11" s="51">
        <f>+'Kassaflöde-3M'!E11</f>
        <v>-126.5</v>
      </c>
      <c r="F11" s="51">
        <f>+'Kassaflöde-3M'!F11</f>
        <v>-1.6870000000000001</v>
      </c>
      <c r="G11" s="51">
        <f>+'Kassaflöde-3M'!G11</f>
        <v>-9.1999999999999993</v>
      </c>
      <c r="H11" s="51">
        <v>1.9750000000000001</v>
      </c>
      <c r="I11" s="51">
        <v>-68</v>
      </c>
      <c r="J11" s="51">
        <v>-87.177000000000007</v>
      </c>
      <c r="K11" s="51">
        <v>-53.3</v>
      </c>
      <c r="L11" s="51">
        <v>-1.6</v>
      </c>
      <c r="M11" s="51">
        <v>-15.3</v>
      </c>
      <c r="N11" s="51">
        <v>-6.1</v>
      </c>
      <c r="O11" s="51">
        <v>-4.4459999999999997</v>
      </c>
      <c r="P11" s="51">
        <v>-18.254000000000001</v>
      </c>
      <c r="Q11" s="51">
        <v>-52.3</v>
      </c>
      <c r="R11" s="38">
        <v>-5.2</v>
      </c>
      <c r="S11" s="19">
        <v>-1.55</v>
      </c>
      <c r="T11" s="19">
        <v>-0.54800000000000004</v>
      </c>
      <c r="U11" s="19">
        <v>-42.3</v>
      </c>
      <c r="V11" s="19">
        <v>-0.8</v>
      </c>
      <c r="W11" s="19">
        <v>-1.1000000000000001</v>
      </c>
      <c r="X11" s="19">
        <v>-1</v>
      </c>
      <c r="Y11" s="19">
        <v>68.3</v>
      </c>
      <c r="Z11" s="19">
        <v>-13.26</v>
      </c>
    </row>
    <row r="12" spans="1:26" x14ac:dyDescent="0.35">
      <c r="A12" s="9"/>
      <c r="B12" s="6"/>
      <c r="C12" s="1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1"/>
      <c r="S12" s="6"/>
      <c r="T12" s="6"/>
      <c r="U12" s="6"/>
      <c r="V12" s="6"/>
      <c r="W12" s="6"/>
      <c r="X12" s="6"/>
      <c r="Y12" s="6"/>
      <c r="Z12" s="6"/>
    </row>
    <row r="13" spans="1:26" x14ac:dyDescent="0.35">
      <c r="A13" s="18" t="s">
        <v>128</v>
      </c>
      <c r="B13" s="19">
        <f>'Kassaflöde-3M'!B13</f>
        <v>32.799999999999997</v>
      </c>
      <c r="C13" s="38">
        <f>+'Kassaflöde-3M'!C13</f>
        <v>-124</v>
      </c>
      <c r="D13" s="51">
        <f>+'Kassaflöde-3M'!D13</f>
        <v>-116.9</v>
      </c>
      <c r="E13" s="51">
        <f>+'Kassaflöde-3M'!E13</f>
        <v>-159.19999999999999</v>
      </c>
      <c r="F13" s="51">
        <f>+'Kassaflöde-3M'!F13</f>
        <v>-34.332000000000001</v>
      </c>
      <c r="G13" s="51">
        <f>+'Kassaflöde-3M'!G13</f>
        <v>34.099999999999994</v>
      </c>
      <c r="H13" s="51">
        <f t="shared" ref="H13" si="6">H9+H11</f>
        <v>91.474999999999994</v>
      </c>
      <c r="I13" s="51">
        <v>-10.700000000000003</v>
      </c>
      <c r="J13" s="51">
        <v>-124.977</v>
      </c>
      <c r="K13" s="51">
        <f>K9+K11</f>
        <v>-19.586999999999996</v>
      </c>
      <c r="L13" s="51">
        <f>L9+L11</f>
        <v>73</v>
      </c>
      <c r="M13" s="51">
        <v>1.3000000000000007</v>
      </c>
      <c r="N13" s="51">
        <f>N9+N11</f>
        <v>17.819999999999993</v>
      </c>
      <c r="O13" s="51">
        <v>52.545000000000002</v>
      </c>
      <c r="P13" s="51">
        <v>35.747999999999998</v>
      </c>
      <c r="Q13" s="51">
        <v>-166.4</v>
      </c>
      <c r="R13" s="38">
        <v>-6.2</v>
      </c>
      <c r="S13" s="19">
        <f>SUM(S9:S11)</f>
        <v>41.370000000000005</v>
      </c>
      <c r="T13" s="19">
        <f>SUM(T9:T11)</f>
        <v>43.994</v>
      </c>
      <c r="U13" s="19">
        <f>SUM(U9:U11)</f>
        <v>-24.279999999999994</v>
      </c>
      <c r="V13" s="19">
        <f>SUM(V9:V11)</f>
        <v>-0.99999999999999756</v>
      </c>
      <c r="W13" s="19">
        <f>SUM(W9:W11)</f>
        <v>34.267000000000003</v>
      </c>
      <c r="X13" s="19">
        <f t="shared" ref="X13:Z13" si="7">SUM(X9:X11)</f>
        <v>26.499999999999993</v>
      </c>
      <c r="Y13" s="19">
        <f t="shared" si="7"/>
        <v>93.699999999999989</v>
      </c>
      <c r="Z13" s="19">
        <f t="shared" si="7"/>
        <v>-30.120000000000005</v>
      </c>
    </row>
    <row r="14" spans="1:26" x14ac:dyDescent="0.35">
      <c r="A14" s="9"/>
      <c r="B14" s="6"/>
      <c r="C14" s="1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1"/>
      <c r="S14" s="6"/>
      <c r="T14" s="6"/>
      <c r="U14" s="6"/>
      <c r="V14" s="6"/>
      <c r="W14" s="6"/>
      <c r="X14" s="6"/>
      <c r="Y14" s="6"/>
      <c r="Z14" s="6"/>
    </row>
    <row r="15" spans="1:26" x14ac:dyDescent="0.35">
      <c r="A15" s="10" t="s">
        <v>130</v>
      </c>
      <c r="B15" s="6">
        <f>C17</f>
        <v>69.599999999999994</v>
      </c>
      <c r="C15" s="1">
        <f>+'Kassaflöde-3M'!C15</f>
        <v>193.9</v>
      </c>
      <c r="D15" s="50">
        <f>+'Kassaflöde-3M'!D15</f>
        <v>193.9</v>
      </c>
      <c r="E15" s="50">
        <f>+'Kassaflöde-3M'!E15</f>
        <v>193.87200000000001</v>
      </c>
      <c r="F15" s="50">
        <f>+'Kassaflöde-3M'!F15</f>
        <v>193.87200000000001</v>
      </c>
      <c r="G15" s="50">
        <f>+'Kassaflöde-3M'!G15</f>
        <v>159.83500000000001</v>
      </c>
      <c r="H15" s="50">
        <v>68.260000000000005</v>
      </c>
      <c r="I15" s="50">
        <v>77.900000000000006</v>
      </c>
      <c r="J15" s="50">
        <v>203.5</v>
      </c>
      <c r="K15" s="50">
        <v>223.1</v>
      </c>
      <c r="L15" s="50">
        <v>150.4</v>
      </c>
      <c r="M15" s="50">
        <v>148.34</v>
      </c>
      <c r="N15" s="50">
        <v>131.1</v>
      </c>
      <c r="O15" s="50">
        <v>78.7</v>
      </c>
      <c r="P15" s="50">
        <v>42.9</v>
      </c>
      <c r="Q15" s="50">
        <v>209.6</v>
      </c>
      <c r="R15" s="1">
        <v>215.45</v>
      </c>
      <c r="S15" s="6">
        <v>174.4</v>
      </c>
      <c r="T15" s="6">
        <v>130.69999999999999</v>
      </c>
      <c r="U15" s="6">
        <v>155</v>
      </c>
      <c r="V15" s="6">
        <v>156</v>
      </c>
      <c r="W15" s="6">
        <v>123.2</v>
      </c>
      <c r="X15" s="6">
        <v>96.46</v>
      </c>
      <c r="Y15" s="6">
        <v>2.4</v>
      </c>
      <c r="Z15" s="6">
        <v>32.299999999999997</v>
      </c>
    </row>
    <row r="16" spans="1:26" x14ac:dyDescent="0.35">
      <c r="A16" s="10" t="s">
        <v>131</v>
      </c>
      <c r="B16" s="6">
        <f>'Kassaflöde-3M'!B16</f>
        <v>0.2</v>
      </c>
      <c r="C16" s="1">
        <f>+'Kassaflöde-3M'!C16</f>
        <v>-0.1</v>
      </c>
      <c r="D16" s="50">
        <f>+'Kassaflöde-3M'!D16</f>
        <v>-0.1</v>
      </c>
      <c r="E16" s="50">
        <f>+'Kassaflöde-3M'!E16</f>
        <v>-0.6</v>
      </c>
      <c r="F16" s="50">
        <f>+'Kassaflöde-3M'!F16</f>
        <v>0.34399999999999997</v>
      </c>
      <c r="G16" s="50">
        <f>+'Kassaflöde-3M'!G16</f>
        <v>0.1</v>
      </c>
      <c r="H16" s="50">
        <v>0.1</v>
      </c>
      <c r="I16" s="50">
        <v>1.1000000000000001</v>
      </c>
      <c r="J16" s="50">
        <v>-0.6</v>
      </c>
      <c r="K16" s="50">
        <v>0</v>
      </c>
      <c r="L16" s="50">
        <v>-0.3</v>
      </c>
      <c r="M16" s="50">
        <v>0.74</v>
      </c>
      <c r="N16" s="50">
        <v>-0.6</v>
      </c>
      <c r="O16" s="50">
        <v>-0.1</v>
      </c>
      <c r="P16" s="50">
        <v>0.1</v>
      </c>
      <c r="Q16" s="50">
        <v>-0.3</v>
      </c>
      <c r="R16" s="1">
        <v>0.36</v>
      </c>
      <c r="S16" s="6">
        <v>-0.3</v>
      </c>
      <c r="T16" s="6">
        <v>-0.3</v>
      </c>
      <c r="U16" s="62" t="s">
        <v>43</v>
      </c>
      <c r="V16" s="62" t="s">
        <v>43</v>
      </c>
      <c r="W16" s="6">
        <v>-1.5</v>
      </c>
      <c r="X16" s="6">
        <v>0.26</v>
      </c>
      <c r="Y16" s="6">
        <v>0.2</v>
      </c>
      <c r="Z16" s="6">
        <v>0.2</v>
      </c>
    </row>
    <row r="17" spans="1:26" x14ac:dyDescent="0.35">
      <c r="A17" s="11" t="s">
        <v>129</v>
      </c>
      <c r="B17" s="6">
        <f>'Kassaflöde-3M'!B17</f>
        <v>102.7</v>
      </c>
      <c r="C17" s="1">
        <f>+'Kassaflöde-3M'!C17</f>
        <v>69.599999999999994</v>
      </c>
      <c r="D17" s="50">
        <f>+'Kassaflöde-3M'!D17</f>
        <v>76.8</v>
      </c>
      <c r="E17" s="50">
        <f>+'Kassaflöde-3M'!E17</f>
        <v>41.8</v>
      </c>
      <c r="F17" s="50">
        <f>+'Kassaflöde-3M'!F17</f>
        <v>159.88399999999999</v>
      </c>
      <c r="G17" s="50">
        <f>+'Kassaflöde-3M'!G17</f>
        <v>193.9</v>
      </c>
      <c r="H17" s="50">
        <f t="shared" ref="H17" si="8">H13+H15+H16</f>
        <v>159.83500000000001</v>
      </c>
      <c r="I17" s="50">
        <v>77.923000000000002</v>
      </c>
      <c r="J17" s="50">
        <v>77.923000000000002</v>
      </c>
      <c r="K17" s="50">
        <f>K13+K15+K16</f>
        <v>203.51300000000001</v>
      </c>
      <c r="L17" s="50">
        <f>L13+L15+L16</f>
        <v>223.1</v>
      </c>
      <c r="M17" s="50">
        <v>150.38000000000002</v>
      </c>
      <c r="N17" s="50">
        <f>N13+N15+N16</f>
        <v>148.32</v>
      </c>
      <c r="O17" s="50">
        <v>131.1</v>
      </c>
      <c r="P17" s="50">
        <v>78.69</v>
      </c>
      <c r="Q17" s="50">
        <v>42.9</v>
      </c>
      <c r="R17" s="1">
        <v>209.61</v>
      </c>
      <c r="S17" s="6">
        <f>SUM(S13:S16)</f>
        <v>215.47</v>
      </c>
      <c r="T17" s="6">
        <f>SUM(T13:T16)</f>
        <v>174.39399999999998</v>
      </c>
      <c r="U17" s="6">
        <f>SUM(U13:U16)</f>
        <v>130.72</v>
      </c>
      <c r="V17" s="6">
        <f>SUM(V13:V16)</f>
        <v>155</v>
      </c>
      <c r="W17" s="6">
        <f>SUM(W13:W16)</f>
        <v>155.96700000000001</v>
      </c>
      <c r="X17" s="6">
        <v>123.2</v>
      </c>
      <c r="Y17" s="6">
        <v>96.5</v>
      </c>
      <c r="Z17" s="6">
        <v>2.4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499984740745262"/>
  </sheetPr>
  <dimension ref="A1:F32"/>
  <sheetViews>
    <sheetView showGridLines="0" workbookViewId="0">
      <pane xSplit="1" ySplit="2" topLeftCell="B18" activePane="bottomRight" state="frozen"/>
      <selection pane="topRight" activeCell="B1" sqref="B1"/>
      <selection pane="bottomLeft" activeCell="A3" sqref="A3"/>
      <selection pane="bottomRight" activeCell="B27" sqref="B27"/>
    </sheetView>
  </sheetViews>
  <sheetFormatPr defaultColWidth="9.1796875" defaultRowHeight="14.5" x14ac:dyDescent="0.35"/>
  <cols>
    <col min="1" max="1" width="68.81640625" style="5" bestFit="1" customWidth="1"/>
    <col min="2" max="2" width="10.453125" style="5" customWidth="1"/>
    <col min="3" max="4" width="10.453125" style="39" customWidth="1"/>
    <col min="5" max="5" width="9.453125" style="39" customWidth="1"/>
    <col min="6" max="6" width="9.1796875" style="39"/>
    <col min="7" max="16384" width="9.1796875" style="5"/>
  </cols>
  <sheetData>
    <row r="1" spans="1:6" ht="23.5" x14ac:dyDescent="0.55000000000000004">
      <c r="A1" s="27" t="s">
        <v>133</v>
      </c>
      <c r="B1" s="27"/>
    </row>
    <row r="2" spans="1:6" x14ac:dyDescent="0.35">
      <c r="A2" s="28" t="s">
        <v>0</v>
      </c>
      <c r="B2" s="15" t="s">
        <v>231</v>
      </c>
      <c r="C2" s="52" t="s">
        <v>206</v>
      </c>
      <c r="D2" s="52" t="s">
        <v>188</v>
      </c>
      <c r="E2" s="52" t="s">
        <v>73</v>
      </c>
      <c r="F2" s="52" t="s">
        <v>1</v>
      </c>
    </row>
    <row r="3" spans="1:6" x14ac:dyDescent="0.35">
      <c r="A3" s="29" t="s">
        <v>75</v>
      </c>
      <c r="B3" s="6">
        <f>+Resultat!B3</f>
        <v>1925.6</v>
      </c>
      <c r="C3" s="85">
        <f>+Resultat!C3</f>
        <v>1824.8</v>
      </c>
      <c r="D3" s="41">
        <f>1536.79+0.04</f>
        <v>1536.83</v>
      </c>
      <c r="E3" s="41">
        <v>1313.5</v>
      </c>
      <c r="F3" s="41">
        <v>1138.0999999999999</v>
      </c>
    </row>
    <row r="4" spans="1:6" x14ac:dyDescent="0.35">
      <c r="A4" s="29" t="s">
        <v>76</v>
      </c>
      <c r="B4" s="6">
        <f>+Resultat!B4</f>
        <v>-1214.8</v>
      </c>
      <c r="C4" s="85">
        <f>+Resultat!C4</f>
        <v>-1121.4000000000001</v>
      </c>
      <c r="D4" s="41">
        <v>-984.1</v>
      </c>
      <c r="E4" s="41">
        <v>-865.6</v>
      </c>
      <c r="F4" s="41">
        <v>-759.8</v>
      </c>
    </row>
    <row r="5" spans="1:6" x14ac:dyDescent="0.35">
      <c r="A5" s="30" t="s">
        <v>77</v>
      </c>
      <c r="B5" s="19">
        <f>+Resultat!B5</f>
        <v>710.8</v>
      </c>
      <c r="C5" s="86">
        <f>+Resultat!C5</f>
        <v>703.5</v>
      </c>
      <c r="D5" s="42">
        <f>SUM(D3:D4)</f>
        <v>552.7299999999999</v>
      </c>
      <c r="E5" s="42">
        <f>SUM(E3:E4)</f>
        <v>447.9</v>
      </c>
      <c r="F5" s="42">
        <f>SUM(F3:F4)</f>
        <v>378.29999999999995</v>
      </c>
    </row>
    <row r="6" spans="1:6" x14ac:dyDescent="0.35">
      <c r="A6" s="29"/>
      <c r="B6" s="6"/>
      <c r="C6" s="85"/>
      <c r="D6" s="41"/>
      <c r="E6" s="41"/>
      <c r="F6" s="41"/>
    </row>
    <row r="7" spans="1:6" x14ac:dyDescent="0.35">
      <c r="A7" s="29" t="s">
        <v>198</v>
      </c>
      <c r="B7" s="6">
        <f>+Resultat!B7</f>
        <v>-436.59999999999991</v>
      </c>
      <c r="C7" s="85">
        <f>+Resultat!C7</f>
        <v>-367.5</v>
      </c>
      <c r="D7" s="41">
        <f>-359.2+10.952</f>
        <v>-348.24799999999999</v>
      </c>
      <c r="E7" s="41">
        <f>-251.54-84.8+7.365</f>
        <v>-328.97499999999997</v>
      </c>
      <c r="F7" s="41">
        <f>-230.3-77.4</f>
        <v>-307.70000000000005</v>
      </c>
    </row>
    <row r="8" spans="1:6" x14ac:dyDescent="0.35">
      <c r="A8" s="68" t="s">
        <v>78</v>
      </c>
      <c r="B8" s="70">
        <f>+Resultat!B8</f>
        <v>7.1000000000000014</v>
      </c>
      <c r="C8" s="87">
        <f>+Resultat!C8</f>
        <v>2.9</v>
      </c>
      <c r="D8" s="69">
        <v>4</v>
      </c>
      <c r="E8" s="69">
        <f>5.7-0.04</f>
        <v>5.66</v>
      </c>
      <c r="F8" s="69">
        <v>10.7</v>
      </c>
    </row>
    <row r="9" spans="1:6" x14ac:dyDescent="0.35">
      <c r="A9" s="76" t="s">
        <v>195</v>
      </c>
      <c r="B9" s="43">
        <f>+Resultat!B9</f>
        <v>281.2</v>
      </c>
      <c r="C9" s="88">
        <f>+Resultat!C9</f>
        <v>338.9</v>
      </c>
      <c r="D9" s="43">
        <f>D5+D7+D8</f>
        <v>208.48199999999991</v>
      </c>
      <c r="E9" s="43">
        <f>E5+E7+E8</f>
        <v>124.58500000000001</v>
      </c>
      <c r="F9" s="43">
        <f>F5+F7+F8</f>
        <v>81.299999999999912</v>
      </c>
    </row>
    <row r="10" spans="1:6" x14ac:dyDescent="0.35">
      <c r="A10" s="71"/>
      <c r="B10" s="95"/>
      <c r="C10" s="85"/>
      <c r="D10" s="41"/>
      <c r="E10" s="41"/>
      <c r="F10" s="41"/>
    </row>
    <row r="11" spans="1:6" x14ac:dyDescent="0.35">
      <c r="A11" s="77" t="s">
        <v>197</v>
      </c>
      <c r="B11" s="41">
        <f>+Resultat!B11</f>
        <v>-23.9</v>
      </c>
      <c r="C11" s="85">
        <f>+Resultat!C11</f>
        <v>-20.6</v>
      </c>
      <c r="D11" s="41">
        <v>-10.952</v>
      </c>
      <c r="E11" s="41">
        <v>-7.3650000000000002</v>
      </c>
      <c r="F11" s="82">
        <v>0</v>
      </c>
    </row>
    <row r="12" spans="1:6" x14ac:dyDescent="0.35">
      <c r="A12" s="78" t="s">
        <v>79</v>
      </c>
      <c r="B12" s="42">
        <f>+Resultat!B12</f>
        <v>257.3</v>
      </c>
      <c r="C12" s="86">
        <f>+Resultat!C12</f>
        <v>318.3</v>
      </c>
      <c r="D12" s="42">
        <f>D9+D11</f>
        <v>197.52999999999992</v>
      </c>
      <c r="E12" s="42">
        <f t="shared" ref="E12:F12" si="0">E9+E11</f>
        <v>117.22000000000001</v>
      </c>
      <c r="F12" s="42">
        <f t="shared" si="0"/>
        <v>81.299999999999912</v>
      </c>
    </row>
    <row r="13" spans="1:6" x14ac:dyDescent="0.35">
      <c r="A13" s="29" t="s">
        <v>80</v>
      </c>
      <c r="B13" s="6">
        <f>+Resultat!B13</f>
        <v>-5.7</v>
      </c>
      <c r="C13" s="85">
        <f>+Resultat!C13</f>
        <v>-10.4</v>
      </c>
      <c r="D13" s="41">
        <f>-65.406+0.04</f>
        <v>-65.366</v>
      </c>
      <c r="E13" s="41">
        <v>-2.74</v>
      </c>
      <c r="F13" s="41">
        <v>-2.5</v>
      </c>
    </row>
    <row r="14" spans="1:6" x14ac:dyDescent="0.35">
      <c r="A14" s="30" t="s">
        <v>81</v>
      </c>
      <c r="B14" s="19">
        <f>+Resultat!B14</f>
        <v>251.6</v>
      </c>
      <c r="C14" s="86">
        <f>+Resultat!C14</f>
        <v>307.89999999999998</v>
      </c>
      <c r="D14" s="42">
        <f>SUM(D12:D13)</f>
        <v>132.16399999999993</v>
      </c>
      <c r="E14" s="42">
        <f>SUM(E12:E13)</f>
        <v>114.48000000000002</v>
      </c>
      <c r="F14" s="42">
        <f>SUM(F12:F13)</f>
        <v>78.799999999999912</v>
      </c>
    </row>
    <row r="15" spans="1:6" x14ac:dyDescent="0.35">
      <c r="A15" s="31"/>
      <c r="B15" s="17"/>
      <c r="C15" s="88"/>
      <c r="D15" s="43"/>
      <c r="E15" s="43"/>
      <c r="F15" s="43"/>
    </row>
    <row r="16" spans="1:6" x14ac:dyDescent="0.35">
      <c r="A16" s="29" t="s">
        <v>82</v>
      </c>
      <c r="B16" s="6">
        <f>+Resultat!B16</f>
        <v>-58.1</v>
      </c>
      <c r="C16" s="85">
        <f>+Resultat!C16</f>
        <v>-70.7</v>
      </c>
      <c r="D16" s="41">
        <v>-45.564</v>
      </c>
      <c r="E16" s="41" t="s">
        <v>183</v>
      </c>
      <c r="F16" s="41" t="s">
        <v>184</v>
      </c>
    </row>
    <row r="17" spans="1:6" x14ac:dyDescent="0.35">
      <c r="A17" s="30" t="s">
        <v>83</v>
      </c>
      <c r="B17" s="19">
        <f>+Resultat!B17</f>
        <v>193.4</v>
      </c>
      <c r="C17" s="86">
        <f>+Resultat!C17</f>
        <v>237.3</v>
      </c>
      <c r="D17" s="42">
        <f>SUM(D14:D16)</f>
        <v>86.599999999999937</v>
      </c>
      <c r="E17" s="42">
        <f>SUM(E14:E16)</f>
        <v>114.48000000000002</v>
      </c>
      <c r="F17" s="42">
        <f>SUM(F14:F16)</f>
        <v>78.799999999999912</v>
      </c>
    </row>
    <row r="18" spans="1:6" x14ac:dyDescent="0.35">
      <c r="A18" s="31"/>
      <c r="B18" s="17"/>
      <c r="C18" s="88"/>
      <c r="D18" s="43"/>
      <c r="E18" s="43"/>
      <c r="F18" s="43"/>
    </row>
    <row r="19" spans="1:6" x14ac:dyDescent="0.35">
      <c r="A19" s="31" t="s">
        <v>84</v>
      </c>
      <c r="B19" s="17"/>
      <c r="C19" s="85"/>
      <c r="D19" s="41"/>
      <c r="E19" s="41"/>
      <c r="F19" s="41"/>
    </row>
    <row r="20" spans="1:6" x14ac:dyDescent="0.35">
      <c r="A20" s="22" t="s">
        <v>91</v>
      </c>
      <c r="B20" s="97"/>
      <c r="C20" s="85"/>
      <c r="D20" s="41"/>
      <c r="E20" s="41"/>
      <c r="F20" s="41"/>
    </row>
    <row r="21" spans="1:6" x14ac:dyDescent="0.35">
      <c r="A21" t="s">
        <v>93</v>
      </c>
      <c r="B21" s="1">
        <f>+Resultat!B21</f>
        <v>68.8</v>
      </c>
      <c r="C21" s="85">
        <f>+Resultat!C21</f>
        <v>-6.7</v>
      </c>
      <c r="D21" s="41">
        <v>-2.8690000000000002</v>
      </c>
      <c r="E21" s="41">
        <v>-27.2</v>
      </c>
      <c r="F21" s="41">
        <v>-3.1</v>
      </c>
    </row>
    <row r="22" spans="1:6" x14ac:dyDescent="0.35">
      <c r="A22" s="29" t="s">
        <v>94</v>
      </c>
      <c r="B22" s="6">
        <f>+Resultat!B22</f>
        <v>-14.2</v>
      </c>
      <c r="C22" s="85">
        <f>+Resultat!C22</f>
        <v>1.4</v>
      </c>
      <c r="D22" s="41">
        <v>0.56299999999999994</v>
      </c>
      <c r="E22" s="41">
        <v>5.4</v>
      </c>
      <c r="F22" s="41">
        <v>0.5</v>
      </c>
    </row>
    <row r="23" spans="1:6" x14ac:dyDescent="0.35">
      <c r="A23" s="22" t="s">
        <v>92</v>
      </c>
      <c r="B23" s="97"/>
      <c r="C23" s="85" t="str">
        <f>+Resultat!C23</f>
        <v/>
      </c>
      <c r="D23" s="41"/>
      <c r="E23" s="41"/>
      <c r="F23" s="41"/>
    </row>
    <row r="24" spans="1:6" x14ac:dyDescent="0.35">
      <c r="A24" s="29" t="s">
        <v>85</v>
      </c>
      <c r="B24" s="6">
        <f>+Resultat!B24</f>
        <v>54.9</v>
      </c>
      <c r="C24" s="85">
        <f>+Resultat!C24</f>
        <v>17.8</v>
      </c>
      <c r="D24" s="41">
        <v>-18.692</v>
      </c>
      <c r="E24" s="41">
        <v>-6.7</v>
      </c>
      <c r="F24" s="41">
        <v>5.4</v>
      </c>
    </row>
    <row r="25" spans="1:6" x14ac:dyDescent="0.35">
      <c r="A25" s="29" t="s">
        <v>86</v>
      </c>
      <c r="B25" s="6">
        <f>+Resultat!B25</f>
        <v>-5.3</v>
      </c>
      <c r="C25" s="85">
        <f>+Resultat!C25</f>
        <v>1.9</v>
      </c>
      <c r="D25" s="41">
        <v>2.2999999999999998</v>
      </c>
      <c r="E25" s="41">
        <v>1.3</v>
      </c>
      <c r="F25" s="41">
        <v>-3.8</v>
      </c>
    </row>
    <row r="26" spans="1:6" x14ac:dyDescent="0.35">
      <c r="A26" s="29" t="s">
        <v>94</v>
      </c>
      <c r="B26" s="6">
        <f>+Resultat!B26</f>
        <v>1.1000000000000001</v>
      </c>
      <c r="C26" s="85">
        <f>+Resultat!C26</f>
        <v>-0.4</v>
      </c>
      <c r="D26" s="41">
        <v>-0.51900000000000002</v>
      </c>
      <c r="E26" s="44">
        <v>-0.26</v>
      </c>
      <c r="F26" s="41">
        <v>0.8</v>
      </c>
    </row>
    <row r="27" spans="1:6" x14ac:dyDescent="0.35">
      <c r="A27" s="30" t="s">
        <v>87</v>
      </c>
      <c r="B27" s="19">
        <f>+Resultat!B27</f>
        <v>298.7</v>
      </c>
      <c r="C27" s="86">
        <f>+Resultat!C27</f>
        <v>251.3</v>
      </c>
      <c r="D27" s="42">
        <f t="shared" ref="D27" si="1">SUM(D17:D26)</f>
        <v>67.382999999999939</v>
      </c>
      <c r="E27" s="42">
        <f t="shared" ref="E27:F27" si="2">SUM(E17:E26)</f>
        <v>87.02000000000001</v>
      </c>
      <c r="F27" s="42">
        <f t="shared" si="2"/>
        <v>78.599999999999923</v>
      </c>
    </row>
    <row r="28" spans="1:6" x14ac:dyDescent="0.35">
      <c r="A28" s="31"/>
      <c r="B28" s="17"/>
      <c r="C28" s="88"/>
      <c r="D28" s="43"/>
      <c r="E28" s="43"/>
      <c r="F28" s="43"/>
    </row>
    <row r="29" spans="1:6" x14ac:dyDescent="0.35">
      <c r="A29" s="31" t="s">
        <v>88</v>
      </c>
      <c r="B29" s="17"/>
      <c r="C29" s="85"/>
      <c r="D29" s="41"/>
      <c r="E29" s="41"/>
      <c r="F29" s="41"/>
    </row>
    <row r="30" spans="1:6" x14ac:dyDescent="0.35">
      <c r="A30" s="29" t="s">
        <v>89</v>
      </c>
      <c r="B30" s="6">
        <f>+Resultat!B30</f>
        <v>4.57</v>
      </c>
      <c r="C30" s="89">
        <f>+Resultat!C30</f>
        <v>5.62</v>
      </c>
      <c r="D30" s="44">
        <v>6.24</v>
      </c>
      <c r="E30" s="44">
        <v>6.33</v>
      </c>
      <c r="F30" s="44">
        <v>4.62</v>
      </c>
    </row>
    <row r="31" spans="1:6" x14ac:dyDescent="0.35">
      <c r="A31" s="29" t="s">
        <v>90</v>
      </c>
      <c r="B31" s="6">
        <f>+Resultat!B31</f>
        <v>42.310431000000001</v>
      </c>
      <c r="C31" s="85">
        <f>+Resultat!C31</f>
        <v>14.07</v>
      </c>
      <c r="D31" s="41">
        <v>13.887</v>
      </c>
      <c r="E31" s="41">
        <v>13.7</v>
      </c>
      <c r="F31" s="41">
        <v>13.4</v>
      </c>
    </row>
    <row r="32" spans="1:6" x14ac:dyDescent="0.35">
      <c r="B32" s="6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31"/>
  <sheetViews>
    <sheetView showGridLines="0" workbookViewId="0">
      <pane xSplit="1" ySplit="2" topLeftCell="B12" activePane="bottomRight" state="frozen"/>
      <selection pane="topRight" activeCell="B1" sqref="B1"/>
      <selection pane="bottomLeft" activeCell="A3" sqref="A3"/>
      <selection pane="bottomRight" activeCell="C17" sqref="C17"/>
    </sheetView>
  </sheetViews>
  <sheetFormatPr defaultColWidth="9.1796875" defaultRowHeight="14.5" x14ac:dyDescent="0.35"/>
  <cols>
    <col min="1" max="1" width="57.7265625" style="5" bestFit="1" customWidth="1"/>
    <col min="2" max="4" width="11.453125" style="5" customWidth="1"/>
    <col min="5" max="18" width="11.453125" style="39" customWidth="1"/>
    <col min="19" max="26" width="9.1796875" style="39"/>
    <col min="27" max="16384" width="9.1796875" style="5"/>
  </cols>
  <sheetData>
    <row r="1" spans="1:28" ht="23.5" x14ac:dyDescent="0.55000000000000004">
      <c r="A1" s="27" t="s">
        <v>69</v>
      </c>
      <c r="B1" s="27"/>
      <c r="C1" s="27"/>
      <c r="D1" s="27"/>
    </row>
    <row r="2" spans="1:28" s="32" customFormat="1" ht="29" x14ac:dyDescent="0.35">
      <c r="A2" s="28" t="s">
        <v>0</v>
      </c>
      <c r="B2" s="40" t="s">
        <v>236</v>
      </c>
      <c r="C2" s="35" t="s">
        <v>232</v>
      </c>
      <c r="D2" s="40" t="s">
        <v>227</v>
      </c>
      <c r="E2" s="40" t="s">
        <v>225</v>
      </c>
      <c r="F2" s="40" t="s">
        <v>220</v>
      </c>
      <c r="G2" s="40" t="s">
        <v>210</v>
      </c>
      <c r="H2" s="40" t="s">
        <v>204</v>
      </c>
      <c r="I2" s="40" t="s">
        <v>199</v>
      </c>
      <c r="J2" s="40" t="s">
        <v>193</v>
      </c>
      <c r="K2" s="40" t="s">
        <v>189</v>
      </c>
      <c r="L2" s="40" t="s">
        <v>185</v>
      </c>
      <c r="M2" s="40" t="s">
        <v>179</v>
      </c>
      <c r="N2" s="40" t="s">
        <v>142</v>
      </c>
      <c r="O2" s="40" t="s">
        <v>155</v>
      </c>
      <c r="P2" s="40" t="s">
        <v>151</v>
      </c>
      <c r="Q2" s="40" t="s">
        <v>147</v>
      </c>
      <c r="R2" s="40" t="s">
        <v>143</v>
      </c>
      <c r="S2" s="40" t="s">
        <v>156</v>
      </c>
      <c r="T2" s="40" t="s">
        <v>152</v>
      </c>
      <c r="U2" s="40" t="s">
        <v>148</v>
      </c>
      <c r="V2" s="40" t="s">
        <v>144</v>
      </c>
      <c r="W2" s="40" t="s">
        <v>157</v>
      </c>
      <c r="X2" s="40" t="s">
        <v>153</v>
      </c>
      <c r="Y2" s="40" t="s">
        <v>149</v>
      </c>
      <c r="Z2" s="40" t="s">
        <v>145</v>
      </c>
    </row>
    <row r="3" spans="1:28" x14ac:dyDescent="0.35">
      <c r="A3" s="29" t="s">
        <v>3</v>
      </c>
      <c r="B3" s="6">
        <v>533.20000000000005</v>
      </c>
      <c r="C3" s="6">
        <v>459.9</v>
      </c>
      <c r="D3" s="6">
        <v>422.7</v>
      </c>
      <c r="E3" s="85">
        <v>546.4</v>
      </c>
      <c r="F3" s="85">
        <v>496.6</v>
      </c>
      <c r="G3" s="85">
        <v>489.5</v>
      </c>
      <c r="H3" s="41">
        <v>415.6</v>
      </c>
      <c r="I3" s="41">
        <v>491.7</v>
      </c>
      <c r="J3" s="41">
        <v>428.05700000000002</v>
      </c>
      <c r="K3" s="41">
        <v>396.59100000000001</v>
      </c>
      <c r="L3" s="41">
        <v>355.44</v>
      </c>
      <c r="M3" s="41">
        <v>364.9</v>
      </c>
      <c r="N3" s="41">
        <v>419.9</v>
      </c>
      <c r="O3" s="41">
        <v>344.1</v>
      </c>
      <c r="P3" s="41">
        <v>321.89999999999998</v>
      </c>
      <c r="Q3" s="41">
        <v>348.2</v>
      </c>
      <c r="R3" s="41">
        <v>299.26</v>
      </c>
      <c r="S3" s="41">
        <v>279.10000000000002</v>
      </c>
      <c r="T3" s="41">
        <v>265.39999999999998</v>
      </c>
      <c r="U3" s="41">
        <v>313.60000000000002</v>
      </c>
      <c r="V3" s="41">
        <v>280.05</v>
      </c>
      <c r="W3" s="41">
        <v>274.8</v>
      </c>
      <c r="X3" s="41">
        <v>256.89999999999998</v>
      </c>
      <c r="Y3" s="41">
        <v>302.7</v>
      </c>
      <c r="Z3" s="41">
        <v>291.54000000000002</v>
      </c>
    </row>
    <row r="4" spans="1:28" x14ac:dyDescent="0.35">
      <c r="A4" s="29" t="s">
        <v>4</v>
      </c>
      <c r="B4" s="6">
        <v>-332.5</v>
      </c>
      <c r="C4" s="6">
        <v>-289.8</v>
      </c>
      <c r="D4" s="6">
        <v>-275.7</v>
      </c>
      <c r="E4" s="85">
        <v>-345.1</v>
      </c>
      <c r="F4" s="85">
        <v>-304.2</v>
      </c>
      <c r="G4" s="85">
        <v>-307.39999999999998</v>
      </c>
      <c r="H4" s="41">
        <v>-262</v>
      </c>
      <c r="I4" s="41">
        <v>-296.2</v>
      </c>
      <c r="J4" s="41">
        <v>-255.773</v>
      </c>
      <c r="K4" s="41">
        <v>-248.607</v>
      </c>
      <c r="L4" s="41">
        <v>-229.06</v>
      </c>
      <c r="M4" s="41">
        <v>-242.8</v>
      </c>
      <c r="N4" s="41">
        <v>-263.7</v>
      </c>
      <c r="O4" s="41">
        <v>-242</v>
      </c>
      <c r="P4" s="41">
        <v>-215.3</v>
      </c>
      <c r="Q4" s="41">
        <v>-225</v>
      </c>
      <c r="R4" s="41">
        <v>-183.24</v>
      </c>
      <c r="S4" s="41">
        <v>-185.9</v>
      </c>
      <c r="T4" s="41">
        <v>-178</v>
      </c>
      <c r="U4" s="41">
        <v>-210.3</v>
      </c>
      <c r="V4" s="41">
        <v>-185.666</v>
      </c>
      <c r="W4" s="41">
        <v>-184.7</v>
      </c>
      <c r="X4" s="41">
        <v>-170.8</v>
      </c>
      <c r="Y4" s="41">
        <v>-199.7</v>
      </c>
      <c r="Z4" s="41">
        <v>-183.16</v>
      </c>
    </row>
    <row r="5" spans="1:28" s="32" customFormat="1" x14ac:dyDescent="0.35">
      <c r="A5" s="30" t="s">
        <v>5</v>
      </c>
      <c r="B5" s="19">
        <v>200.7</v>
      </c>
      <c r="C5" s="19">
        <v>170.1</v>
      </c>
      <c r="D5" s="19">
        <v>147</v>
      </c>
      <c r="E5" s="86">
        <v>201.3</v>
      </c>
      <c r="F5" s="86">
        <v>192.4</v>
      </c>
      <c r="G5" s="86">
        <v>182.1</v>
      </c>
      <c r="H5" s="42">
        <f t="shared" ref="H5:M5" si="0">SUM(H3:H4)</f>
        <v>153.60000000000002</v>
      </c>
      <c r="I5" s="42">
        <f t="shared" si="0"/>
        <v>195.5</v>
      </c>
      <c r="J5" s="42">
        <f t="shared" si="0"/>
        <v>172.28400000000002</v>
      </c>
      <c r="K5" s="42">
        <f t="shared" si="0"/>
        <v>147.98400000000001</v>
      </c>
      <c r="L5" s="42">
        <f t="shared" si="0"/>
        <v>126.38</v>
      </c>
      <c r="M5" s="42">
        <f t="shared" si="0"/>
        <v>122.09999999999997</v>
      </c>
      <c r="N5" s="42">
        <f t="shared" ref="N5" si="1">SUM(N3:N4)</f>
        <v>156.19999999999999</v>
      </c>
      <c r="O5" s="42">
        <f t="shared" ref="O5:T5" si="2">SUM(O3:O4)</f>
        <v>102.10000000000002</v>
      </c>
      <c r="P5" s="42">
        <f t="shared" si="2"/>
        <v>106.59999999999997</v>
      </c>
      <c r="Q5" s="42">
        <f t="shared" si="2"/>
        <v>123.19999999999999</v>
      </c>
      <c r="R5" s="42">
        <f t="shared" si="2"/>
        <v>116.01999999999998</v>
      </c>
      <c r="S5" s="42">
        <f t="shared" si="2"/>
        <v>93.200000000000017</v>
      </c>
      <c r="T5" s="42">
        <f t="shared" si="2"/>
        <v>87.399999999999977</v>
      </c>
      <c r="U5" s="42">
        <f t="shared" ref="U5:Z5" si="3">SUM(U3:U4)</f>
        <v>103.30000000000001</v>
      </c>
      <c r="V5" s="42">
        <f t="shared" si="3"/>
        <v>94.384000000000015</v>
      </c>
      <c r="W5" s="42">
        <f t="shared" si="3"/>
        <v>90.100000000000023</v>
      </c>
      <c r="X5" s="42">
        <f t="shared" si="3"/>
        <v>86.099999999999966</v>
      </c>
      <c r="Y5" s="42">
        <f t="shared" si="3"/>
        <v>103</v>
      </c>
      <c r="Z5" s="42">
        <f t="shared" si="3"/>
        <v>108.38000000000002</v>
      </c>
    </row>
    <row r="6" spans="1:28" s="32" customFormat="1" x14ac:dyDescent="0.35">
      <c r="A6" s="31"/>
      <c r="B6" s="17"/>
      <c r="C6" s="17"/>
      <c r="D6" s="17"/>
      <c r="E6" s="88"/>
      <c r="F6" s="88"/>
      <c r="G6" s="88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8" x14ac:dyDescent="0.35">
      <c r="A7" s="29" t="s">
        <v>6</v>
      </c>
      <c r="B7" s="6">
        <v>-124.1</v>
      </c>
      <c r="C7" s="6">
        <v>-127.2</v>
      </c>
      <c r="D7" s="6">
        <f>-72.2-26.6</f>
        <v>-98.800000000000011</v>
      </c>
      <c r="E7" s="85">
        <f>-81.7-28.4</f>
        <v>-110.1</v>
      </c>
      <c r="F7" s="85">
        <f>-74.4-26.3</f>
        <v>-100.7</v>
      </c>
      <c r="G7" s="85">
        <f>-72.7-29.6</f>
        <v>-102.30000000000001</v>
      </c>
      <c r="H7" s="41">
        <f>-57.6-20.94</f>
        <v>-78.540000000000006</v>
      </c>
      <c r="I7" s="41">
        <f>-68.5-24.3</f>
        <v>-92.8</v>
      </c>
      <c r="J7" s="41">
        <v>-93.703999999999994</v>
      </c>
      <c r="K7" s="41">
        <f>-89.553+2.69</f>
        <v>-86.863</v>
      </c>
      <c r="L7" s="41">
        <f>-59.7-23.2-0.04+2.754</f>
        <v>-80.186000000000007</v>
      </c>
      <c r="M7" s="41">
        <f>-64.5-24.4+0.04+2.754</f>
        <v>-86.105999999999995</v>
      </c>
      <c r="N7" s="41">
        <f>-73.9-24+0.04+2.754</f>
        <v>-95.105999999999995</v>
      </c>
      <c r="O7" s="41">
        <f>-75.2-15.84+2.754</f>
        <v>-88.286000000000001</v>
      </c>
      <c r="P7" s="41">
        <f>-54.63-21.21+2.754</f>
        <v>-73.085999999999999</v>
      </c>
      <c r="Q7" s="41">
        <f>-64.4-27.9-0.04+1.836</f>
        <v>-90.504000000000019</v>
      </c>
      <c r="R7" s="41">
        <v>-77.2</v>
      </c>
      <c r="S7" s="41">
        <f>-60.8-19.4</f>
        <v>-80.199999999999989</v>
      </c>
      <c r="T7" s="41">
        <f>-50-14.4</f>
        <v>-64.400000000000006</v>
      </c>
      <c r="U7" s="41">
        <f>-61.6-22.6+0.04</f>
        <v>-84.16</v>
      </c>
      <c r="V7" s="41">
        <f>-78.98</f>
        <v>-78.98</v>
      </c>
      <c r="W7" s="41">
        <f>-59-19.5</f>
        <v>-78.5</v>
      </c>
      <c r="X7" s="41">
        <f>-46.04-19.7</f>
        <v>-65.739999999999995</v>
      </c>
      <c r="Y7" s="41">
        <f>-56.2-22.1</f>
        <v>-78.300000000000011</v>
      </c>
      <c r="Z7" s="41">
        <f>-53.3-22.9</f>
        <v>-76.199999999999989</v>
      </c>
    </row>
    <row r="8" spans="1:28" x14ac:dyDescent="0.35">
      <c r="A8" s="68" t="s">
        <v>7</v>
      </c>
      <c r="B8" s="70">
        <v>1.9</v>
      </c>
      <c r="C8" s="70">
        <v>3.6</v>
      </c>
      <c r="D8" s="70">
        <v>1.4</v>
      </c>
      <c r="E8" s="87">
        <v>-0.4</v>
      </c>
      <c r="F8" s="87">
        <v>2.6</v>
      </c>
      <c r="G8" s="87">
        <v>2.4</v>
      </c>
      <c r="H8" s="69">
        <v>-4.24</v>
      </c>
      <c r="I8" s="69">
        <v>2.4</v>
      </c>
      <c r="J8" s="69">
        <v>2.2269999999999999</v>
      </c>
      <c r="K8" s="69">
        <v>2.1</v>
      </c>
      <c r="L8" s="69">
        <v>2.2999999999999998</v>
      </c>
      <c r="M8" s="69">
        <f>1.7+0.04</f>
        <v>1.74</v>
      </c>
      <c r="N8" s="69">
        <v>-2.06</v>
      </c>
      <c r="O8" s="69">
        <v>3.06</v>
      </c>
      <c r="P8" s="69">
        <v>0.66</v>
      </c>
      <c r="Q8" s="69">
        <f>1.3-0.04</f>
        <v>1.26</v>
      </c>
      <c r="R8" s="69">
        <v>0.7</v>
      </c>
      <c r="S8" s="69">
        <v>2.8</v>
      </c>
      <c r="T8" s="69">
        <v>3.7</v>
      </c>
      <c r="U8" s="69">
        <f>2.8+0.04</f>
        <v>2.84</v>
      </c>
      <c r="V8" s="69">
        <v>1.41</v>
      </c>
      <c r="W8" s="69">
        <v>1.5</v>
      </c>
      <c r="X8" s="69">
        <v>1.45</v>
      </c>
      <c r="Y8" s="69">
        <v>1.45</v>
      </c>
      <c r="Z8" s="69">
        <v>-0.2</v>
      </c>
    </row>
    <row r="9" spans="1:28" s="32" customFormat="1" x14ac:dyDescent="0.35">
      <c r="A9" s="76" t="s">
        <v>195</v>
      </c>
      <c r="B9" s="43">
        <v>78.5</v>
      </c>
      <c r="C9" s="43">
        <v>46.6</v>
      </c>
      <c r="D9" s="43">
        <v>49.6</v>
      </c>
      <c r="E9" s="88">
        <v>90.8</v>
      </c>
      <c r="F9" s="88">
        <v>94.3</v>
      </c>
      <c r="G9" s="88">
        <v>82.2</v>
      </c>
      <c r="H9" s="43">
        <f t="shared" ref="H9" si="4">H5+H7+H8</f>
        <v>70.820000000000022</v>
      </c>
      <c r="I9" s="43">
        <f t="shared" ref="I9:Z9" si="5">I5+I7+I8</f>
        <v>105.10000000000001</v>
      </c>
      <c r="J9" s="43">
        <f t="shared" si="5"/>
        <v>80.807000000000031</v>
      </c>
      <c r="K9" s="43">
        <f t="shared" si="5"/>
        <v>63.221000000000011</v>
      </c>
      <c r="L9" s="43">
        <f t="shared" si="5"/>
        <v>48.493999999999986</v>
      </c>
      <c r="M9" s="43">
        <f t="shared" si="5"/>
        <v>37.733999999999973</v>
      </c>
      <c r="N9" s="43">
        <f t="shared" si="5"/>
        <v>59.033999999999992</v>
      </c>
      <c r="O9" s="43">
        <f t="shared" si="5"/>
        <v>16.87400000000002</v>
      </c>
      <c r="P9" s="43">
        <f t="shared" si="5"/>
        <v>34.173999999999964</v>
      </c>
      <c r="Q9" s="43">
        <f t="shared" si="5"/>
        <v>33.955999999999968</v>
      </c>
      <c r="R9" s="43">
        <f t="shared" si="5"/>
        <v>39.519999999999982</v>
      </c>
      <c r="S9" s="43">
        <f t="shared" si="5"/>
        <v>15.800000000000029</v>
      </c>
      <c r="T9" s="43">
        <f t="shared" si="5"/>
        <v>26.699999999999971</v>
      </c>
      <c r="U9" s="43">
        <f t="shared" si="5"/>
        <v>21.980000000000015</v>
      </c>
      <c r="V9" s="43">
        <f t="shared" si="5"/>
        <v>16.814000000000011</v>
      </c>
      <c r="W9" s="43">
        <f t="shared" si="5"/>
        <v>13.100000000000023</v>
      </c>
      <c r="X9" s="43">
        <f t="shared" si="5"/>
        <v>21.80999999999997</v>
      </c>
      <c r="Y9" s="43">
        <f t="shared" si="5"/>
        <v>26.149999999999988</v>
      </c>
      <c r="Z9" s="43">
        <f t="shared" si="5"/>
        <v>31.980000000000036</v>
      </c>
    </row>
    <row r="10" spans="1:28" x14ac:dyDescent="0.35">
      <c r="A10" s="29"/>
      <c r="B10" s="6"/>
      <c r="C10" s="6"/>
      <c r="D10" s="6"/>
      <c r="E10" s="85"/>
      <c r="F10" s="85"/>
      <c r="G10" s="85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1:28" x14ac:dyDescent="0.35">
      <c r="A11" s="77" t="s">
        <v>196</v>
      </c>
      <c r="B11" s="41">
        <v>-6.3</v>
      </c>
      <c r="C11" s="41">
        <v>-6.2</v>
      </c>
      <c r="D11" s="41">
        <v>-5.9</v>
      </c>
      <c r="E11" s="85">
        <v>-5.9</v>
      </c>
      <c r="F11" s="85">
        <v>-5.9</v>
      </c>
      <c r="G11" s="85">
        <v>-5.7</v>
      </c>
      <c r="H11" s="41">
        <v>-5.66</v>
      </c>
      <c r="I11" s="41">
        <v>-5.6</v>
      </c>
      <c r="J11" s="41">
        <v>-3.665</v>
      </c>
      <c r="K11" s="41">
        <v>-2.69</v>
      </c>
      <c r="L11" s="41">
        <v>-2.754</v>
      </c>
      <c r="M11" s="41">
        <v>-2.754</v>
      </c>
      <c r="N11" s="41">
        <v>-2.754</v>
      </c>
      <c r="O11" s="41">
        <v>-2.75</v>
      </c>
      <c r="P11" s="41">
        <v>-2.754</v>
      </c>
      <c r="Q11" s="41">
        <v>-1.8360000000000001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</row>
    <row r="12" spans="1:28" s="32" customFormat="1" x14ac:dyDescent="0.35">
      <c r="A12" s="78" t="s">
        <v>8</v>
      </c>
      <c r="B12" s="42">
        <v>72.2</v>
      </c>
      <c r="C12" s="42">
        <v>40.4</v>
      </c>
      <c r="D12" s="42">
        <v>43.7</v>
      </c>
      <c r="E12" s="86">
        <v>84.9</v>
      </c>
      <c r="F12" s="86">
        <v>88.3</v>
      </c>
      <c r="G12" s="86">
        <v>76.5</v>
      </c>
      <c r="H12" s="42">
        <f>H9+H11</f>
        <v>65.160000000000025</v>
      </c>
      <c r="I12" s="42">
        <f>I9+I11</f>
        <v>99.500000000000014</v>
      </c>
      <c r="J12" s="42">
        <f>J9+J11</f>
        <v>77.142000000000024</v>
      </c>
      <c r="K12" s="42">
        <f t="shared" ref="K12:Z12" si="6">K9+K11</f>
        <v>60.531000000000013</v>
      </c>
      <c r="L12" s="42">
        <f t="shared" si="6"/>
        <v>45.739999999999988</v>
      </c>
      <c r="M12" s="42">
        <f t="shared" si="6"/>
        <v>34.979999999999976</v>
      </c>
      <c r="N12" s="42">
        <f t="shared" si="6"/>
        <v>56.279999999999994</v>
      </c>
      <c r="O12" s="42">
        <f t="shared" si="6"/>
        <v>14.12400000000002</v>
      </c>
      <c r="P12" s="42">
        <f t="shared" si="6"/>
        <v>31.419999999999963</v>
      </c>
      <c r="Q12" s="42">
        <f t="shared" si="6"/>
        <v>32.119999999999969</v>
      </c>
      <c r="R12" s="42">
        <f t="shared" si="6"/>
        <v>39.519999999999982</v>
      </c>
      <c r="S12" s="42">
        <f t="shared" si="6"/>
        <v>15.800000000000029</v>
      </c>
      <c r="T12" s="42">
        <f t="shared" si="6"/>
        <v>26.699999999999971</v>
      </c>
      <c r="U12" s="42">
        <f t="shared" si="6"/>
        <v>21.980000000000015</v>
      </c>
      <c r="V12" s="42">
        <f t="shared" si="6"/>
        <v>16.814000000000011</v>
      </c>
      <c r="W12" s="42">
        <f t="shared" si="6"/>
        <v>13.100000000000023</v>
      </c>
      <c r="X12" s="42">
        <f t="shared" si="6"/>
        <v>21.80999999999997</v>
      </c>
      <c r="Y12" s="42">
        <f t="shared" si="6"/>
        <v>26.149999999999988</v>
      </c>
      <c r="Z12" s="42">
        <f t="shared" si="6"/>
        <v>31.980000000000036</v>
      </c>
    </row>
    <row r="13" spans="1:28" x14ac:dyDescent="0.35">
      <c r="A13" s="68" t="s">
        <v>9</v>
      </c>
      <c r="B13" s="70">
        <v>-3.8</v>
      </c>
      <c r="C13" s="70">
        <v>5.2</v>
      </c>
      <c r="D13" s="70">
        <v>-5</v>
      </c>
      <c r="E13" s="87">
        <v>-3.7</v>
      </c>
      <c r="F13" s="87">
        <v>-2.2999999999999998</v>
      </c>
      <c r="G13" s="87">
        <v>-3.3</v>
      </c>
      <c r="H13" s="69">
        <v>-2.2999999999999998</v>
      </c>
      <c r="I13" s="69">
        <f>-0.2-0.04</f>
        <v>-0.24000000000000002</v>
      </c>
      <c r="J13" s="69">
        <v>-4.66</v>
      </c>
      <c r="K13" s="69">
        <v>-35.5</v>
      </c>
      <c r="L13" s="69">
        <v>-1.7</v>
      </c>
      <c r="M13" s="69">
        <f>-25.4+0.04</f>
        <v>-25.36</v>
      </c>
      <c r="N13" s="69">
        <v>-2.8</v>
      </c>
      <c r="O13" s="69">
        <v>-0.9</v>
      </c>
      <c r="P13" s="69">
        <v>-0.4</v>
      </c>
      <c r="Q13" s="69">
        <v>-0.9</v>
      </c>
      <c r="R13" s="69">
        <v>-0.4</v>
      </c>
      <c r="S13" s="69">
        <v>-1.2</v>
      </c>
      <c r="T13" s="69">
        <v>-1.56</v>
      </c>
      <c r="U13" s="69">
        <v>-0.14000000000000001</v>
      </c>
      <c r="V13" s="69">
        <v>0.4</v>
      </c>
      <c r="W13" s="69">
        <v>-0.2</v>
      </c>
      <c r="X13" s="69">
        <v>-1.4</v>
      </c>
      <c r="Y13" s="69">
        <v>-1</v>
      </c>
      <c r="Z13" s="69">
        <v>-1.3</v>
      </c>
    </row>
    <row r="14" spans="1:28" s="32" customFormat="1" x14ac:dyDescent="0.35">
      <c r="A14" s="31" t="s">
        <v>10</v>
      </c>
      <c r="B14" s="17">
        <v>68.400000000000006</v>
      </c>
      <c r="C14" s="17">
        <v>45.6</v>
      </c>
      <c r="D14" s="17">
        <v>38.700000000000003</v>
      </c>
      <c r="E14" s="88">
        <v>81.2</v>
      </c>
      <c r="F14" s="88">
        <v>86.1</v>
      </c>
      <c r="G14" s="88">
        <v>73.2</v>
      </c>
      <c r="H14" s="43">
        <f t="shared" ref="H14:I14" si="7">SUM(H12:H13)</f>
        <v>62.860000000000028</v>
      </c>
      <c r="I14" s="43">
        <f t="shared" si="7"/>
        <v>99.260000000000019</v>
      </c>
      <c r="J14" s="43">
        <f t="shared" ref="J14:K14" si="8">SUM(J12:J13)</f>
        <v>72.482000000000028</v>
      </c>
      <c r="K14" s="43">
        <f t="shared" si="8"/>
        <v>25.031000000000013</v>
      </c>
      <c r="L14" s="43">
        <f t="shared" ref="L14" si="9">SUM(L12:L13)</f>
        <v>44.039999999999985</v>
      </c>
      <c r="M14" s="43">
        <f t="shared" ref="M14" si="10">SUM(M12:M13)</f>
        <v>9.6199999999999761</v>
      </c>
      <c r="N14" s="43">
        <f t="shared" ref="N14:Z14" si="11">SUM(N12:N13)</f>
        <v>53.48</v>
      </c>
      <c r="O14" s="43">
        <f t="shared" si="11"/>
        <v>13.22400000000002</v>
      </c>
      <c r="P14" s="43">
        <f t="shared" si="11"/>
        <v>31.019999999999964</v>
      </c>
      <c r="Q14" s="43">
        <f t="shared" si="11"/>
        <v>31.21999999999997</v>
      </c>
      <c r="R14" s="43">
        <f t="shared" si="11"/>
        <v>39.119999999999983</v>
      </c>
      <c r="S14" s="43">
        <f t="shared" si="11"/>
        <v>14.60000000000003</v>
      </c>
      <c r="T14" s="43">
        <f t="shared" si="11"/>
        <v>25.139999999999972</v>
      </c>
      <c r="U14" s="43">
        <f t="shared" si="11"/>
        <v>21.840000000000014</v>
      </c>
      <c r="V14" s="43">
        <f t="shared" si="11"/>
        <v>17.214000000000009</v>
      </c>
      <c r="W14" s="43">
        <f t="shared" si="11"/>
        <v>12.900000000000023</v>
      </c>
      <c r="X14" s="43">
        <f t="shared" si="11"/>
        <v>20.409999999999972</v>
      </c>
      <c r="Y14" s="43">
        <f t="shared" si="11"/>
        <v>25.149999999999988</v>
      </c>
      <c r="Z14" s="43">
        <f t="shared" si="11"/>
        <v>30.680000000000035</v>
      </c>
    </row>
    <row r="15" spans="1:28" x14ac:dyDescent="0.35">
      <c r="A15" s="29"/>
      <c r="B15" s="6"/>
      <c r="C15" s="6"/>
      <c r="D15" s="6"/>
      <c r="E15" s="85"/>
      <c r="F15" s="85"/>
      <c r="G15" s="85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1:28" x14ac:dyDescent="0.35">
      <c r="A16" s="29" t="s">
        <v>11</v>
      </c>
      <c r="B16" s="6">
        <v>-15.4</v>
      </c>
      <c r="C16" s="6">
        <v>-8.9</v>
      </c>
      <c r="D16" s="6">
        <v>-9.3000000000000007</v>
      </c>
      <c r="E16" s="85">
        <v>-19.7</v>
      </c>
      <c r="F16" s="85">
        <v>-20.2</v>
      </c>
      <c r="G16" s="85">
        <v>-17.399999999999999</v>
      </c>
      <c r="H16" s="41">
        <v>-14.3</v>
      </c>
      <c r="I16" s="41">
        <f>-22-0.04</f>
        <v>-22.04</v>
      </c>
      <c r="J16" s="41">
        <v>-16.962</v>
      </c>
      <c r="K16" s="41">
        <v>-15.429</v>
      </c>
      <c r="L16" s="41">
        <v>-10</v>
      </c>
      <c r="M16" s="41">
        <f>-8.3+0.04</f>
        <v>-8.2600000000000016</v>
      </c>
      <c r="N16" s="41">
        <v>-11.9</v>
      </c>
      <c r="O16" s="41">
        <v>-3.8</v>
      </c>
      <c r="P16" s="41">
        <v>-6.5</v>
      </c>
      <c r="Q16" s="41">
        <v>-8.8000000000000007</v>
      </c>
      <c r="R16" s="41">
        <v>-8.4</v>
      </c>
      <c r="S16" s="41">
        <v>-2.7</v>
      </c>
      <c r="T16" s="41">
        <v>-5.0599999999999996</v>
      </c>
      <c r="U16" s="41">
        <v>-4.8600000000000003</v>
      </c>
      <c r="V16" s="41">
        <v>-4</v>
      </c>
      <c r="W16" s="41">
        <v>-3.3</v>
      </c>
      <c r="X16" s="41">
        <v>-2.4</v>
      </c>
      <c r="Y16" s="41">
        <f>-4.4-1.2</f>
        <v>-5.6000000000000005</v>
      </c>
      <c r="Z16" s="41">
        <v>-6.5</v>
      </c>
    </row>
    <row r="17" spans="1:26" s="32" customFormat="1" x14ac:dyDescent="0.35">
      <c r="A17" s="30" t="s">
        <v>12</v>
      </c>
      <c r="B17" s="19">
        <v>52.9</v>
      </c>
      <c r="C17" s="19">
        <v>36.700000000000003</v>
      </c>
      <c r="D17" s="19">
        <v>29.4</v>
      </c>
      <c r="E17" s="86">
        <v>61.5</v>
      </c>
      <c r="F17" s="86">
        <v>65.8</v>
      </c>
      <c r="G17" s="86">
        <v>55.9</v>
      </c>
      <c r="H17" s="42">
        <f t="shared" ref="H17:I17" si="12">SUM(H14:H16)</f>
        <v>48.560000000000031</v>
      </c>
      <c r="I17" s="42">
        <f t="shared" si="12"/>
        <v>77.220000000000027</v>
      </c>
      <c r="J17" s="42">
        <f t="shared" ref="J17:K17" si="13">SUM(J14:J16)</f>
        <v>55.520000000000024</v>
      </c>
      <c r="K17" s="42">
        <f t="shared" si="13"/>
        <v>9.6020000000000127</v>
      </c>
      <c r="L17" s="42">
        <f t="shared" ref="L17" si="14">SUM(L14:L16)</f>
        <v>34.039999999999985</v>
      </c>
      <c r="M17" s="42">
        <f t="shared" ref="M17:N17" si="15">SUM(M14:M16)</f>
        <v>1.3599999999999746</v>
      </c>
      <c r="N17" s="42">
        <f t="shared" si="15"/>
        <v>41.58</v>
      </c>
      <c r="O17" s="42">
        <f t="shared" ref="O17:P17" si="16">SUM(O14:O16)</f>
        <v>9.4240000000000208</v>
      </c>
      <c r="P17" s="42">
        <f t="shared" si="16"/>
        <v>24.519999999999964</v>
      </c>
      <c r="Q17" s="42">
        <f t="shared" ref="Q17:V17" si="17">SUM(Q14:Q16)</f>
        <v>22.41999999999997</v>
      </c>
      <c r="R17" s="42">
        <f t="shared" si="17"/>
        <v>30.719999999999985</v>
      </c>
      <c r="S17" s="42">
        <f t="shared" si="17"/>
        <v>11.900000000000031</v>
      </c>
      <c r="T17" s="42">
        <f t="shared" si="17"/>
        <v>20.079999999999973</v>
      </c>
      <c r="U17" s="42">
        <f t="shared" si="17"/>
        <v>16.980000000000015</v>
      </c>
      <c r="V17" s="42">
        <f t="shared" si="17"/>
        <v>13.214000000000009</v>
      </c>
      <c r="W17" s="42">
        <f t="shared" ref="W17:Z17" si="18">SUM(W14:W16)</f>
        <v>9.6000000000000227</v>
      </c>
      <c r="X17" s="42">
        <f t="shared" si="18"/>
        <v>18.009999999999973</v>
      </c>
      <c r="Y17" s="42">
        <f t="shared" si="18"/>
        <v>19.549999999999986</v>
      </c>
      <c r="Z17" s="42">
        <f t="shared" si="18"/>
        <v>24.180000000000035</v>
      </c>
    </row>
    <row r="18" spans="1:26" s="32" customFormat="1" x14ac:dyDescent="0.35">
      <c r="A18" s="31"/>
      <c r="B18" s="17"/>
      <c r="C18" s="31"/>
      <c r="D18" s="17"/>
      <c r="E18" s="88"/>
      <c r="F18" s="88"/>
      <c r="G18" s="88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spans="1:26" x14ac:dyDescent="0.35">
      <c r="A19" s="31" t="s">
        <v>13</v>
      </c>
      <c r="B19" s="17"/>
      <c r="C19" s="31"/>
      <c r="D19" s="17"/>
      <c r="E19" s="85"/>
      <c r="F19" s="85"/>
      <c r="G19" s="85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6" x14ac:dyDescent="0.35">
      <c r="A20" s="31" t="s">
        <v>14</v>
      </c>
      <c r="B20" s="17"/>
      <c r="C20" s="31"/>
      <c r="D20" s="17"/>
      <c r="E20" s="85"/>
      <c r="F20" s="85"/>
      <c r="G20" s="85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1:26" x14ac:dyDescent="0.35">
      <c r="A21" s="29" t="s">
        <v>15</v>
      </c>
      <c r="B21" s="6">
        <v>-0.1</v>
      </c>
      <c r="C21" s="6">
        <v>12</v>
      </c>
      <c r="D21" s="6">
        <v>26.9</v>
      </c>
      <c r="E21" s="85">
        <v>29.9</v>
      </c>
      <c r="F21" s="85">
        <v>-0.1</v>
      </c>
      <c r="G21" s="85">
        <v>-11.1</v>
      </c>
      <c r="H21" s="41">
        <v>-2</v>
      </c>
      <c r="I21" s="41">
        <v>6.3</v>
      </c>
      <c r="J21" s="41">
        <v>0.1</v>
      </c>
      <c r="K21" s="41">
        <v>-3.556</v>
      </c>
      <c r="L21" s="41">
        <v>0.54</v>
      </c>
      <c r="M21" s="41">
        <v>0.14000000000000001</v>
      </c>
      <c r="N21" s="61" t="s">
        <v>43</v>
      </c>
      <c r="O21" s="41">
        <v>1.7</v>
      </c>
      <c r="P21" s="41">
        <v>-15</v>
      </c>
      <c r="Q21" s="41">
        <f>-13.4-0.04</f>
        <v>-13.44</v>
      </c>
      <c r="R21" s="41">
        <v>-0.44</v>
      </c>
      <c r="S21" s="41">
        <v>-0.3</v>
      </c>
      <c r="T21" s="41">
        <v>1.8</v>
      </c>
      <c r="U21" s="41">
        <v>-4.5</v>
      </c>
      <c r="V21" s="41">
        <v>-5.1999999999999998E-2</v>
      </c>
      <c r="W21" s="41">
        <v>-4.3</v>
      </c>
      <c r="X21" s="41">
        <v>-3.8</v>
      </c>
      <c r="Y21" s="61" t="s">
        <v>43</v>
      </c>
      <c r="Z21" s="61" t="s">
        <v>43</v>
      </c>
    </row>
    <row r="22" spans="1:26" x14ac:dyDescent="0.35">
      <c r="A22" s="29" t="s">
        <v>16</v>
      </c>
      <c r="B22" s="6">
        <v>0</v>
      </c>
      <c r="C22" s="6">
        <v>-1.7</v>
      </c>
      <c r="D22" s="6">
        <v>-5.9</v>
      </c>
      <c r="E22" s="90">
        <v>-6.6</v>
      </c>
      <c r="F22" s="90">
        <v>0</v>
      </c>
      <c r="G22" s="90">
        <v>2.2999999999999998</v>
      </c>
      <c r="H22" s="61">
        <v>0.44</v>
      </c>
      <c r="I22" s="61">
        <v>-1.34</v>
      </c>
      <c r="J22" s="61">
        <v>0</v>
      </c>
      <c r="K22" s="61">
        <v>0.70399999999999996</v>
      </c>
      <c r="L22" s="61">
        <v>-0.1</v>
      </c>
      <c r="M22" s="61" t="s">
        <v>43</v>
      </c>
      <c r="N22" s="61" t="s">
        <v>43</v>
      </c>
      <c r="O22" s="41">
        <v>-1.1000000000000001</v>
      </c>
      <c r="P22" s="41">
        <v>3.4</v>
      </c>
      <c r="Q22" s="41">
        <v>3</v>
      </c>
      <c r="R22" s="41">
        <v>0.1</v>
      </c>
      <c r="S22" s="41">
        <v>0.44</v>
      </c>
      <c r="T22" s="41">
        <v>-1</v>
      </c>
      <c r="U22" s="41">
        <v>1</v>
      </c>
      <c r="V22" s="61" t="s">
        <v>43</v>
      </c>
      <c r="W22" s="41">
        <v>1</v>
      </c>
      <c r="X22" s="41">
        <v>0.80449999999999999</v>
      </c>
      <c r="Y22" s="61" t="s">
        <v>43</v>
      </c>
      <c r="Z22" s="61" t="s">
        <v>43</v>
      </c>
    </row>
    <row r="23" spans="1:26" x14ac:dyDescent="0.35">
      <c r="A23" s="31" t="s">
        <v>17</v>
      </c>
      <c r="B23" s="17"/>
      <c r="C23" s="17"/>
      <c r="D23" s="17"/>
      <c r="E23" s="85"/>
      <c r="F23" s="85"/>
      <c r="G23" s="85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1:26" x14ac:dyDescent="0.35">
      <c r="A24" s="29" t="s">
        <v>18</v>
      </c>
      <c r="B24" s="6">
        <v>12.1</v>
      </c>
      <c r="C24" s="6">
        <v>13.6</v>
      </c>
      <c r="D24" s="6">
        <v>12.7</v>
      </c>
      <c r="E24" s="85">
        <v>24.2</v>
      </c>
      <c r="F24" s="85">
        <v>4.5</v>
      </c>
      <c r="G24" s="85">
        <v>8.8000000000000007</v>
      </c>
      <c r="H24" s="41">
        <v>4.04</v>
      </c>
      <c r="I24" s="41">
        <v>-8.6999999999999993</v>
      </c>
      <c r="J24" s="41">
        <v>13.762</v>
      </c>
      <c r="K24" s="41">
        <v>-21.591999999999999</v>
      </c>
      <c r="L24" s="41">
        <v>2.7</v>
      </c>
      <c r="M24" s="41">
        <v>-23.66</v>
      </c>
      <c r="N24" s="41">
        <v>23.84</v>
      </c>
      <c r="O24" s="41">
        <v>-10.6</v>
      </c>
      <c r="P24" s="41">
        <v>6</v>
      </c>
      <c r="Q24" s="41">
        <f>-3.6-0.04</f>
        <v>-3.64</v>
      </c>
      <c r="R24" s="41">
        <v>1.6</v>
      </c>
      <c r="S24" s="41">
        <v>-0.6</v>
      </c>
      <c r="T24" s="41">
        <v>-1.9</v>
      </c>
      <c r="U24" s="41">
        <v>1.86</v>
      </c>
      <c r="V24" s="41">
        <v>6</v>
      </c>
      <c r="W24" s="41">
        <v>3.5</v>
      </c>
      <c r="X24" s="41">
        <v>-1.3</v>
      </c>
      <c r="Y24" s="41">
        <v>1.4</v>
      </c>
      <c r="Z24" s="41">
        <v>-0.34</v>
      </c>
    </row>
    <row r="25" spans="1:26" x14ac:dyDescent="0.35">
      <c r="A25" s="29" t="s">
        <v>19</v>
      </c>
      <c r="B25" s="6">
        <v>1.9</v>
      </c>
      <c r="C25" s="6">
        <v>0.5</v>
      </c>
      <c r="D25" s="6">
        <v>-0.6</v>
      </c>
      <c r="E25" s="85">
        <v>-7</v>
      </c>
      <c r="F25" s="85">
        <v>1.9</v>
      </c>
      <c r="G25" s="85">
        <v>2.5</v>
      </c>
      <c r="H25" s="41">
        <v>-1.4</v>
      </c>
      <c r="I25" s="41">
        <v>-1.6</v>
      </c>
      <c r="J25" s="41">
        <v>2.2559999999999998</v>
      </c>
      <c r="K25" s="41">
        <v>0.749</v>
      </c>
      <c r="L25" s="41">
        <v>1.2</v>
      </c>
      <c r="M25" s="41">
        <v>2.34</v>
      </c>
      <c r="N25" s="41">
        <v>-1.9</v>
      </c>
      <c r="O25" s="41">
        <v>-0.2</v>
      </c>
      <c r="P25" s="41">
        <v>0.1</v>
      </c>
      <c r="Q25" s="41">
        <v>-2</v>
      </c>
      <c r="R25" s="41">
        <v>3.4</v>
      </c>
      <c r="S25" s="41">
        <v>-0.5</v>
      </c>
      <c r="T25" s="41">
        <v>-1.4</v>
      </c>
      <c r="U25" s="41">
        <v>-0.6</v>
      </c>
      <c r="V25" s="41">
        <v>-1.2</v>
      </c>
      <c r="W25" s="41">
        <v>1.1000000000000001</v>
      </c>
      <c r="X25" s="41">
        <v>0.70450000000000002</v>
      </c>
      <c r="Y25" s="41">
        <v>-2.5</v>
      </c>
      <c r="Z25" s="41">
        <v>-0.74</v>
      </c>
    </row>
    <row r="26" spans="1:26" x14ac:dyDescent="0.35">
      <c r="A26" s="29" t="s">
        <v>16</v>
      </c>
      <c r="B26" s="6">
        <v>-0.4</v>
      </c>
      <c r="C26" s="6">
        <v>-0.1</v>
      </c>
      <c r="D26" s="6">
        <v>0.1</v>
      </c>
      <c r="E26" s="85">
        <v>1.4</v>
      </c>
      <c r="F26" s="85">
        <v>-0.4</v>
      </c>
      <c r="G26" s="85">
        <v>-0.5</v>
      </c>
      <c r="H26" s="41">
        <v>0.24</v>
      </c>
      <c r="I26" s="41">
        <v>0.4</v>
      </c>
      <c r="J26" s="41">
        <v>-0.46500000000000002</v>
      </c>
      <c r="K26" s="41">
        <v>-0.17499999999999999</v>
      </c>
      <c r="L26" s="41">
        <v>-0.3</v>
      </c>
      <c r="M26" s="41">
        <v>-0.5</v>
      </c>
      <c r="N26" s="41">
        <v>0.44</v>
      </c>
      <c r="O26" s="41">
        <v>0.1</v>
      </c>
      <c r="P26" s="61" t="s">
        <v>43</v>
      </c>
      <c r="Q26" s="41">
        <v>0.5</v>
      </c>
      <c r="R26" s="41">
        <v>-0.74</v>
      </c>
      <c r="S26" s="41">
        <v>0.14000000000000001</v>
      </c>
      <c r="T26" s="41">
        <v>0.3</v>
      </c>
      <c r="U26" s="41">
        <v>0.1</v>
      </c>
      <c r="V26" s="41">
        <v>0.27200000000000002</v>
      </c>
      <c r="W26" s="41">
        <v>-0.2</v>
      </c>
      <c r="X26" s="41">
        <v>-0.16</v>
      </c>
      <c r="Y26" s="41">
        <v>0.6</v>
      </c>
      <c r="Z26" s="41">
        <v>0.2</v>
      </c>
    </row>
    <row r="27" spans="1:26" s="32" customFormat="1" x14ac:dyDescent="0.35">
      <c r="A27" s="30" t="s">
        <v>20</v>
      </c>
      <c r="B27" s="19">
        <v>66.5</v>
      </c>
      <c r="C27" s="19">
        <v>61</v>
      </c>
      <c r="D27" s="19">
        <v>62.6</v>
      </c>
      <c r="E27" s="86">
        <f>SUM(E17:E26)</f>
        <v>103.40000000000002</v>
      </c>
      <c r="F27" s="86">
        <v>71.8</v>
      </c>
      <c r="G27" s="86">
        <v>57.9</v>
      </c>
      <c r="H27" s="42">
        <f t="shared" ref="H27:I27" si="19">SUM(H17:H26)</f>
        <v>49.880000000000031</v>
      </c>
      <c r="I27" s="42">
        <f t="shared" si="19"/>
        <v>72.28000000000003</v>
      </c>
      <c r="J27" s="42">
        <f t="shared" ref="J27:K27" si="20">SUM(J17:J26)</f>
        <v>71.17300000000003</v>
      </c>
      <c r="K27" s="42">
        <f t="shared" si="20"/>
        <v>-14.267999999999986</v>
      </c>
      <c r="L27" s="42">
        <f t="shared" ref="L27" si="21">SUM(L17:L26)</f>
        <v>38.079999999999991</v>
      </c>
      <c r="M27" s="42">
        <f t="shared" ref="M27:N27" si="22">SUM(M17:M26)</f>
        <v>-20.320000000000025</v>
      </c>
      <c r="N27" s="42">
        <f t="shared" si="22"/>
        <v>63.96</v>
      </c>
      <c r="O27" s="42">
        <f t="shared" ref="O27" si="23">SUM(O17:O26)</f>
        <v>-0.67599999999997917</v>
      </c>
      <c r="P27" s="42">
        <f t="shared" ref="P27:Q27" si="24">SUM(P17:P26)</f>
        <v>19.019999999999968</v>
      </c>
      <c r="Q27" s="42">
        <f t="shared" si="24"/>
        <v>6.8399999999999697</v>
      </c>
      <c r="R27" s="42">
        <f t="shared" ref="R27" si="25">SUM(R17:R26)</f>
        <v>34.639999999999986</v>
      </c>
      <c r="S27" s="42">
        <f t="shared" ref="S27:Z27" si="26">SUM(S17:S26)</f>
        <v>11.08000000000003</v>
      </c>
      <c r="T27" s="42">
        <f t="shared" si="26"/>
        <v>17.879999999999978</v>
      </c>
      <c r="U27" s="42">
        <f t="shared" si="26"/>
        <v>14.840000000000014</v>
      </c>
      <c r="V27" s="42">
        <f t="shared" si="26"/>
        <v>18.234000000000009</v>
      </c>
      <c r="W27" s="42">
        <f t="shared" si="26"/>
        <v>10.700000000000022</v>
      </c>
      <c r="X27" s="42">
        <f t="shared" si="26"/>
        <v>14.258999999999972</v>
      </c>
      <c r="Y27" s="42">
        <f t="shared" si="26"/>
        <v>19.049999999999986</v>
      </c>
      <c r="Z27" s="42">
        <f t="shared" si="26"/>
        <v>23.300000000000036</v>
      </c>
    </row>
    <row r="28" spans="1:26" s="32" customFormat="1" x14ac:dyDescent="0.35">
      <c r="A28" s="31"/>
      <c r="B28" s="17"/>
      <c r="C28" s="31"/>
      <c r="D28" s="17"/>
      <c r="E28" s="88"/>
      <c r="F28" s="88"/>
      <c r="G28" s="88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spans="1:26" x14ac:dyDescent="0.35">
      <c r="A29" s="31" t="s">
        <v>21</v>
      </c>
      <c r="B29" s="17"/>
      <c r="C29" s="31"/>
      <c r="D29" s="17"/>
      <c r="E29" s="85"/>
      <c r="F29" s="85"/>
      <c r="G29" s="85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 s="25" customFormat="1" x14ac:dyDescent="0.35">
      <c r="A30" s="26" t="s">
        <v>24</v>
      </c>
      <c r="B30" s="113">
        <v>1.25</v>
      </c>
      <c r="C30" s="93">
        <v>0.87</v>
      </c>
      <c r="D30" s="92">
        <v>0.69</v>
      </c>
      <c r="E30" s="92">
        <v>1.4532350190429402</v>
      </c>
      <c r="F30" s="92">
        <v>1.555975641089546</v>
      </c>
      <c r="G30" s="92">
        <v>1.3210704235085677</v>
      </c>
      <c r="H30" s="93">
        <v>1.1483622088368699</v>
      </c>
      <c r="I30" s="93">
        <v>1.8256939996664177</v>
      </c>
      <c r="J30" s="93">
        <v>1.3252022106348662</v>
      </c>
      <c r="K30" s="93">
        <v>0.23058825551291126</v>
      </c>
      <c r="L30" s="93">
        <v>0.81634217698150391</v>
      </c>
      <c r="M30" s="93">
        <v>3.2968004155550144E-2</v>
      </c>
      <c r="N30" s="93">
        <v>0.9988301775827243</v>
      </c>
      <c r="O30" s="93">
        <v>0.22635544114561104</v>
      </c>
      <c r="P30" s="93">
        <v>0.58861963475051138</v>
      </c>
      <c r="Q30" s="93">
        <v>0.54333333333333333</v>
      </c>
      <c r="R30" s="93">
        <v>0.76030177040954205</v>
      </c>
      <c r="S30" s="93">
        <v>0.29615636923488881</v>
      </c>
      <c r="T30" s="93">
        <v>0.49762862802557556</v>
      </c>
      <c r="U30" s="93">
        <v>0.42025223563479136</v>
      </c>
      <c r="V30" s="93">
        <v>0.32733114666309659</v>
      </c>
      <c r="W30" s="93">
        <v>0.23666666666666666</v>
      </c>
      <c r="X30" s="93">
        <v>0.44666666666666671</v>
      </c>
      <c r="Y30" s="93">
        <v>0.49333333333333335</v>
      </c>
      <c r="Z30" s="93">
        <v>0.70403345827763297</v>
      </c>
    </row>
    <row r="31" spans="1:26" x14ac:dyDescent="0.35">
      <c r="A31" s="77" t="s">
        <v>23</v>
      </c>
      <c r="B31" s="41">
        <v>42.3</v>
      </c>
      <c r="C31" s="95">
        <v>42.3</v>
      </c>
      <c r="D31" s="94">
        <v>42.3</v>
      </c>
      <c r="E31" s="94">
        <v>42.3</v>
      </c>
      <c r="F31" s="94">
        <v>42.3</v>
      </c>
      <c r="G31" s="94">
        <v>42.3</v>
      </c>
      <c r="H31" s="95">
        <v>42.3</v>
      </c>
      <c r="I31" s="95">
        <v>42.3</v>
      </c>
      <c r="J31" s="95">
        <v>41.9</v>
      </c>
      <c r="K31" s="95">
        <v>41.7</v>
      </c>
      <c r="L31" s="95">
        <v>41.7</v>
      </c>
      <c r="M31" s="95">
        <v>41.7</v>
      </c>
      <c r="N31" s="95">
        <v>41.7</v>
      </c>
      <c r="O31" s="95">
        <v>41.7</v>
      </c>
      <c r="P31" s="95">
        <v>41.7</v>
      </c>
      <c r="Q31" s="95">
        <v>41.2</v>
      </c>
      <c r="R31" s="95">
        <v>40.299999999999997</v>
      </c>
      <c r="S31" s="95">
        <v>40.299999999999997</v>
      </c>
      <c r="T31" s="95">
        <v>40.299999999999997</v>
      </c>
      <c r="U31" s="95">
        <v>40.299999999999997</v>
      </c>
      <c r="V31" s="95">
        <v>40.299999999999997</v>
      </c>
      <c r="W31" s="95">
        <v>40.299999999999997</v>
      </c>
      <c r="X31" s="95">
        <v>40.299999999999997</v>
      </c>
      <c r="Y31" s="95">
        <v>39.6</v>
      </c>
      <c r="Z31" s="95">
        <v>34.299999999999997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499984740745262"/>
  </sheetPr>
  <dimension ref="A1:AB31"/>
  <sheetViews>
    <sheetView showGridLines="0" workbookViewId="0">
      <pane xSplit="1" ySplit="2" topLeftCell="B11" activePane="bottomRight" state="frozen"/>
      <selection activeCell="W1" sqref="W1:X1048576"/>
      <selection pane="topRight" activeCell="W1" sqref="W1:X1048576"/>
      <selection pane="bottomLeft" activeCell="W1" sqref="W1:X1048576"/>
      <selection pane="bottomRight" activeCell="B28" sqref="B28"/>
    </sheetView>
  </sheetViews>
  <sheetFormatPr defaultColWidth="9.1796875" defaultRowHeight="14.5" x14ac:dyDescent="0.35"/>
  <cols>
    <col min="1" max="1" width="66.54296875" style="5" customWidth="1"/>
    <col min="2" max="4" width="11.453125" style="5" customWidth="1"/>
    <col min="5" max="13" width="11.453125" style="39" customWidth="1"/>
    <col min="14" max="14" width="11.453125" style="56" customWidth="1"/>
    <col min="15" max="17" width="11.453125" style="39" customWidth="1"/>
    <col min="18" max="18" width="11.453125" style="37" customWidth="1"/>
    <col min="19" max="16384" width="9.1796875" style="5"/>
  </cols>
  <sheetData>
    <row r="1" spans="1:28" ht="23.5" x14ac:dyDescent="0.55000000000000004">
      <c r="A1" s="27" t="s">
        <v>137</v>
      </c>
      <c r="B1" s="27"/>
      <c r="C1" s="27"/>
      <c r="D1" s="27"/>
    </row>
    <row r="2" spans="1:28" s="32" customFormat="1" ht="29" x14ac:dyDescent="0.35">
      <c r="A2" s="28" t="s">
        <v>0</v>
      </c>
      <c r="B2" s="34" t="s">
        <v>237</v>
      </c>
      <c r="C2" s="34" t="s">
        <v>232</v>
      </c>
      <c r="D2" s="34" t="s">
        <v>228</v>
      </c>
      <c r="E2" s="40" t="s">
        <v>226</v>
      </c>
      <c r="F2" s="40" t="s">
        <v>221</v>
      </c>
      <c r="G2" s="40" t="s">
        <v>218</v>
      </c>
      <c r="H2" s="40" t="s">
        <v>204</v>
      </c>
      <c r="I2" s="40" t="s">
        <v>199</v>
      </c>
      <c r="J2" s="40" t="s">
        <v>193</v>
      </c>
      <c r="K2" s="40" t="s">
        <v>219</v>
      </c>
      <c r="L2" s="40" t="s">
        <v>185</v>
      </c>
      <c r="M2" s="40" t="s">
        <v>180</v>
      </c>
      <c r="N2" s="40" t="s">
        <v>142</v>
      </c>
      <c r="O2" s="40" t="s">
        <v>215</v>
      </c>
      <c r="P2" s="40" t="s">
        <v>151</v>
      </c>
      <c r="Q2" s="40" t="s">
        <v>147</v>
      </c>
      <c r="R2" s="34" t="s">
        <v>143</v>
      </c>
      <c r="S2" s="40" t="s">
        <v>216</v>
      </c>
      <c r="T2" s="34" t="s">
        <v>152</v>
      </c>
      <c r="U2" s="34" t="s">
        <v>148</v>
      </c>
      <c r="V2" s="34" t="s">
        <v>144</v>
      </c>
      <c r="W2" s="40" t="s">
        <v>217</v>
      </c>
      <c r="X2" s="34" t="s">
        <v>153</v>
      </c>
      <c r="Y2" s="34" t="s">
        <v>149</v>
      </c>
      <c r="Z2" s="34" t="s">
        <v>145</v>
      </c>
    </row>
    <row r="3" spans="1:28" x14ac:dyDescent="0.35">
      <c r="A3" s="29" t="s">
        <v>75</v>
      </c>
      <c r="B3" s="6">
        <f>'Resultat-3M'!B3</f>
        <v>533.20000000000005</v>
      </c>
      <c r="C3" s="6">
        <f>+'Resultat-3M'!C3</f>
        <v>459.9</v>
      </c>
      <c r="D3" s="6">
        <f>+'Resultat-3M'!D3</f>
        <v>422.7</v>
      </c>
      <c r="E3" s="85">
        <f>+'Resultat-3M'!E3</f>
        <v>546.4</v>
      </c>
      <c r="F3" s="85">
        <f>+'Resultat-3M'!F3</f>
        <v>496.6</v>
      </c>
      <c r="G3" s="85">
        <v>489.5</v>
      </c>
      <c r="H3" s="41">
        <v>415.6</v>
      </c>
      <c r="I3" s="41">
        <v>491.7</v>
      </c>
      <c r="J3" s="41">
        <v>428.05700000000002</v>
      </c>
      <c r="K3" s="41">
        <v>396.59100000000001</v>
      </c>
      <c r="L3" s="41">
        <v>355.44</v>
      </c>
      <c r="M3" s="41">
        <v>364.9</v>
      </c>
      <c r="N3" s="41">
        <v>419.9</v>
      </c>
      <c r="O3" s="41">
        <v>344.1</v>
      </c>
      <c r="P3" s="41">
        <v>321.89999999999998</v>
      </c>
      <c r="Q3" s="41">
        <v>348.2</v>
      </c>
      <c r="R3" s="6">
        <v>299.26</v>
      </c>
      <c r="S3" s="6">
        <v>279.10000000000002</v>
      </c>
      <c r="T3" s="6">
        <v>265.39999999999998</v>
      </c>
      <c r="U3" s="6">
        <v>313.60000000000002</v>
      </c>
      <c r="V3" s="6">
        <v>280.05</v>
      </c>
      <c r="W3" s="6">
        <v>274.8</v>
      </c>
      <c r="X3" s="6">
        <v>256.89999999999998</v>
      </c>
      <c r="Y3" s="6">
        <v>302.7</v>
      </c>
      <c r="Z3" s="6">
        <v>291.54000000000002</v>
      </c>
    </row>
    <row r="4" spans="1:28" x14ac:dyDescent="0.35">
      <c r="A4" s="29" t="s">
        <v>76</v>
      </c>
      <c r="B4" s="6">
        <f>'Resultat-3M'!B4</f>
        <v>-332.5</v>
      </c>
      <c r="C4" s="6">
        <f>+'Resultat-3M'!C4</f>
        <v>-289.8</v>
      </c>
      <c r="D4" s="6">
        <f>+'Resultat-3M'!D4</f>
        <v>-275.7</v>
      </c>
      <c r="E4" s="85">
        <f>+'Resultat-3M'!E4</f>
        <v>-345.1</v>
      </c>
      <c r="F4" s="85">
        <f>+'Resultat-3M'!F4</f>
        <v>-304.2</v>
      </c>
      <c r="G4" s="85">
        <v>-307.39999999999998</v>
      </c>
      <c r="H4" s="41">
        <v>-262</v>
      </c>
      <c r="I4" s="41">
        <v>-296.2</v>
      </c>
      <c r="J4" s="41">
        <v>-255.773</v>
      </c>
      <c r="K4" s="41">
        <v>-248.607</v>
      </c>
      <c r="L4" s="41">
        <v>-229.06</v>
      </c>
      <c r="M4" s="41">
        <v>-242.8</v>
      </c>
      <c r="N4" s="41">
        <v>-263.7</v>
      </c>
      <c r="O4" s="41">
        <v>-242</v>
      </c>
      <c r="P4" s="41">
        <v>-215.3</v>
      </c>
      <c r="Q4" s="41">
        <v>-225</v>
      </c>
      <c r="R4" s="6">
        <v>-183.24</v>
      </c>
      <c r="S4" s="6">
        <v>-185.9</v>
      </c>
      <c r="T4" s="6">
        <v>-178</v>
      </c>
      <c r="U4" s="6">
        <v>-210.3</v>
      </c>
      <c r="V4" s="6">
        <v>-185.666</v>
      </c>
      <c r="W4" s="6">
        <v>-184.7</v>
      </c>
      <c r="X4" s="6">
        <v>-170.8</v>
      </c>
      <c r="Y4" s="6">
        <v>-199.7</v>
      </c>
      <c r="Z4" s="6">
        <v>-183.16</v>
      </c>
    </row>
    <row r="5" spans="1:28" s="32" customFormat="1" x14ac:dyDescent="0.35">
      <c r="A5" s="30" t="s">
        <v>77</v>
      </c>
      <c r="B5" s="19">
        <f>'Resultat-3M'!B5</f>
        <v>200.7</v>
      </c>
      <c r="C5" s="19">
        <f>+'Resultat-3M'!C5</f>
        <v>170.1</v>
      </c>
      <c r="D5" s="19">
        <f>+'Resultat-3M'!D5</f>
        <v>147</v>
      </c>
      <c r="E5" s="86">
        <f>+'Resultat-3M'!E5</f>
        <v>201.3</v>
      </c>
      <c r="F5" s="86">
        <f>+'Resultat-3M'!F5</f>
        <v>192.4</v>
      </c>
      <c r="G5" s="86">
        <v>182.1</v>
      </c>
      <c r="H5" s="42">
        <f>SUM(H3:H4)</f>
        <v>153.60000000000002</v>
      </c>
      <c r="I5" s="42">
        <f>SUM(I3:I4)</f>
        <v>195.5</v>
      </c>
      <c r="J5" s="42">
        <f>SUM(J3:J4)</f>
        <v>172.28400000000002</v>
      </c>
      <c r="K5" s="42">
        <f>SUM(K3:K4)</f>
        <v>147.98400000000001</v>
      </c>
      <c r="L5" s="42">
        <v>126.38</v>
      </c>
      <c r="M5" s="42">
        <v>122.09999999999997</v>
      </c>
      <c r="N5" s="42">
        <f t="shared" ref="N5:Z5" si="0">SUM(N3:N4)</f>
        <v>156.19999999999999</v>
      </c>
      <c r="O5" s="42">
        <f t="shared" si="0"/>
        <v>102.10000000000002</v>
      </c>
      <c r="P5" s="42">
        <f t="shared" si="0"/>
        <v>106.59999999999997</v>
      </c>
      <c r="Q5" s="42">
        <f t="shared" si="0"/>
        <v>123.19999999999999</v>
      </c>
      <c r="R5" s="19">
        <f t="shared" si="0"/>
        <v>116.01999999999998</v>
      </c>
      <c r="S5" s="19">
        <f t="shared" si="0"/>
        <v>93.200000000000017</v>
      </c>
      <c r="T5" s="19">
        <f t="shared" si="0"/>
        <v>87.399999999999977</v>
      </c>
      <c r="U5" s="19">
        <f t="shared" si="0"/>
        <v>103.30000000000001</v>
      </c>
      <c r="V5" s="19">
        <f t="shared" si="0"/>
        <v>94.384000000000015</v>
      </c>
      <c r="W5" s="19">
        <f t="shared" si="0"/>
        <v>90.100000000000023</v>
      </c>
      <c r="X5" s="19">
        <f t="shared" si="0"/>
        <v>86.099999999999966</v>
      </c>
      <c r="Y5" s="19">
        <f t="shared" si="0"/>
        <v>103</v>
      </c>
      <c r="Z5" s="19">
        <f t="shared" si="0"/>
        <v>108.38000000000002</v>
      </c>
    </row>
    <row r="6" spans="1:28" s="32" customFormat="1" x14ac:dyDescent="0.35">
      <c r="A6" s="29"/>
      <c r="B6" s="6"/>
      <c r="C6" s="6"/>
      <c r="D6" s="6"/>
      <c r="E6" s="88"/>
      <c r="F6" s="88"/>
      <c r="G6" s="88"/>
      <c r="H6" s="43"/>
      <c r="I6" s="43"/>
      <c r="J6" s="43"/>
      <c r="K6" s="43"/>
      <c r="L6" s="43"/>
      <c r="M6" s="43"/>
      <c r="N6" s="43"/>
      <c r="O6" s="43"/>
      <c r="P6" s="43"/>
      <c r="Q6" s="43"/>
      <c r="R6" s="17"/>
      <c r="S6" s="17"/>
      <c r="T6" s="17"/>
      <c r="U6" s="17"/>
      <c r="V6" s="17"/>
      <c r="W6" s="17"/>
      <c r="X6" s="17"/>
      <c r="Y6" s="17"/>
      <c r="Z6" s="17"/>
    </row>
    <row r="7" spans="1:28" x14ac:dyDescent="0.35">
      <c r="A7" s="29" t="s">
        <v>198</v>
      </c>
      <c r="B7" s="6">
        <f>'Resultat-3M'!B7</f>
        <v>-124.1</v>
      </c>
      <c r="C7" s="6">
        <f>+'Resultat-3M'!C7</f>
        <v>-127.2</v>
      </c>
      <c r="D7" s="6">
        <f>+'Resultat-3M'!D7</f>
        <v>-98.800000000000011</v>
      </c>
      <c r="E7" s="85">
        <f>+'Resultat-3M'!E7</f>
        <v>-110.1</v>
      </c>
      <c r="F7" s="85">
        <f>+'Resultat-3M'!F7</f>
        <v>-100.7</v>
      </c>
      <c r="G7" s="85">
        <v>-102.30000000000001</v>
      </c>
      <c r="H7" s="41">
        <f>-57.6-20.94</f>
        <v>-78.540000000000006</v>
      </c>
      <c r="I7" s="41">
        <v>-92.8</v>
      </c>
      <c r="J7" s="41">
        <v>-93.703999999999994</v>
      </c>
      <c r="K7" s="41">
        <f>-89.553+2.69</f>
        <v>-86.863</v>
      </c>
      <c r="L7" s="41">
        <f>-82.94+2.754</f>
        <v>-80.185999999999993</v>
      </c>
      <c r="M7" s="41">
        <f>-88.86+2.754</f>
        <v>-86.105999999999995</v>
      </c>
      <c r="N7" s="41">
        <f>-73.9-24+0.04+2.754</f>
        <v>-95.105999999999995</v>
      </c>
      <c r="O7" s="41">
        <f>-75.2-15.84+2.754</f>
        <v>-88.286000000000001</v>
      </c>
      <c r="P7" s="41">
        <f>-54.63-21.21+2.75</f>
        <v>-73.09</v>
      </c>
      <c r="Q7" s="41">
        <f>-64.4-27.9-0.04+1.836</f>
        <v>-90.504000000000019</v>
      </c>
      <c r="R7" s="41">
        <v>-77.2</v>
      </c>
      <c r="S7" s="41">
        <f>-60.8-19.4</f>
        <v>-80.199999999999989</v>
      </c>
      <c r="T7" s="41">
        <f>-50-14.4</f>
        <v>-64.400000000000006</v>
      </c>
      <c r="U7" s="41">
        <f>-61.6-22.6+0.04</f>
        <v>-84.16</v>
      </c>
      <c r="V7" s="41">
        <f>-78.98</f>
        <v>-78.98</v>
      </c>
      <c r="W7" s="41">
        <f>-59-19.5</f>
        <v>-78.5</v>
      </c>
      <c r="X7" s="41">
        <f>-46.04-19.7</f>
        <v>-65.739999999999995</v>
      </c>
      <c r="Y7" s="41">
        <f>-56.2-22.1</f>
        <v>-78.300000000000011</v>
      </c>
      <c r="Z7" s="41">
        <f>-53.3-22.9</f>
        <v>-76.199999999999989</v>
      </c>
    </row>
    <row r="8" spans="1:28" x14ac:dyDescent="0.35">
      <c r="A8" s="68" t="s">
        <v>78</v>
      </c>
      <c r="B8" s="70">
        <f>'Resultat-3M'!B8</f>
        <v>1.9</v>
      </c>
      <c r="C8" s="70">
        <f>+'Resultat-3M'!C8</f>
        <v>3.6</v>
      </c>
      <c r="D8" s="70">
        <f>+'Resultat-3M'!D8</f>
        <v>1.4</v>
      </c>
      <c r="E8" s="87">
        <f>+'Resultat-3M'!E8</f>
        <v>-0.4</v>
      </c>
      <c r="F8" s="87">
        <f>+'Resultat-3M'!F8</f>
        <v>2.6</v>
      </c>
      <c r="G8" s="87">
        <v>2.4</v>
      </c>
      <c r="H8" s="69">
        <v>-4.24</v>
      </c>
      <c r="I8" s="69">
        <v>2.4</v>
      </c>
      <c r="J8" s="69">
        <v>2.2269999999999999</v>
      </c>
      <c r="K8" s="69">
        <v>2.1</v>
      </c>
      <c r="L8" s="69">
        <v>2.2999999999999998</v>
      </c>
      <c r="M8" s="69">
        <v>1.74</v>
      </c>
      <c r="N8" s="69">
        <v>-2.06</v>
      </c>
      <c r="O8" s="69">
        <v>3.06</v>
      </c>
      <c r="P8" s="69">
        <v>0.66</v>
      </c>
      <c r="Q8" s="69">
        <f>1.3-0.04</f>
        <v>1.26</v>
      </c>
      <c r="R8" s="69">
        <v>0.7</v>
      </c>
      <c r="S8" s="69">
        <v>2.8</v>
      </c>
      <c r="T8" s="69">
        <v>3.7</v>
      </c>
      <c r="U8" s="69">
        <f>2.8+0.04</f>
        <v>2.84</v>
      </c>
      <c r="V8" s="69">
        <v>1.41</v>
      </c>
      <c r="W8" s="69">
        <v>1.5</v>
      </c>
      <c r="X8" s="69">
        <v>1.45</v>
      </c>
      <c r="Y8" s="69">
        <v>1.45</v>
      </c>
      <c r="Z8" s="69">
        <v>-0.2</v>
      </c>
    </row>
    <row r="9" spans="1:28" s="32" customFormat="1" x14ac:dyDescent="0.35">
      <c r="A9" s="76" t="s">
        <v>195</v>
      </c>
      <c r="B9" s="43">
        <f>'Resultat-3M'!B9</f>
        <v>78.5</v>
      </c>
      <c r="C9" s="43">
        <f>+'Resultat-3M'!C9</f>
        <v>46.6</v>
      </c>
      <c r="D9" s="43">
        <f>+'Resultat-3M'!D9</f>
        <v>49.6</v>
      </c>
      <c r="E9" s="88">
        <f>+'Resultat-3M'!E9</f>
        <v>90.8</v>
      </c>
      <c r="F9" s="88">
        <f>+'Resultat-3M'!F9</f>
        <v>94.3</v>
      </c>
      <c r="G9" s="88">
        <v>82.2</v>
      </c>
      <c r="H9" s="43">
        <f t="shared" ref="H9" si="1">H5+H7+H8</f>
        <v>70.820000000000022</v>
      </c>
      <c r="I9" s="43">
        <f t="shared" ref="I9:Z9" si="2">I5+I7+I8</f>
        <v>105.10000000000001</v>
      </c>
      <c r="J9" s="43">
        <f t="shared" si="2"/>
        <v>80.807000000000031</v>
      </c>
      <c r="K9" s="43">
        <f t="shared" si="2"/>
        <v>63.221000000000011</v>
      </c>
      <c r="L9" s="43">
        <f t="shared" si="2"/>
        <v>48.494</v>
      </c>
      <c r="M9" s="43">
        <f t="shared" si="2"/>
        <v>37.733999999999973</v>
      </c>
      <c r="N9" s="43">
        <f t="shared" si="2"/>
        <v>59.033999999999992</v>
      </c>
      <c r="O9" s="43">
        <f t="shared" si="2"/>
        <v>16.87400000000002</v>
      </c>
      <c r="P9" s="43">
        <f t="shared" si="2"/>
        <v>34.169999999999959</v>
      </c>
      <c r="Q9" s="43">
        <f t="shared" si="2"/>
        <v>33.955999999999968</v>
      </c>
      <c r="R9" s="43">
        <f t="shared" si="2"/>
        <v>39.519999999999982</v>
      </c>
      <c r="S9" s="43">
        <f t="shared" si="2"/>
        <v>15.800000000000029</v>
      </c>
      <c r="T9" s="43">
        <f t="shared" si="2"/>
        <v>26.699999999999971</v>
      </c>
      <c r="U9" s="43">
        <f t="shared" si="2"/>
        <v>21.980000000000015</v>
      </c>
      <c r="V9" s="43">
        <f t="shared" si="2"/>
        <v>16.814000000000011</v>
      </c>
      <c r="W9" s="43">
        <f t="shared" si="2"/>
        <v>13.100000000000023</v>
      </c>
      <c r="X9" s="43">
        <f t="shared" si="2"/>
        <v>21.80999999999997</v>
      </c>
      <c r="Y9" s="43">
        <f t="shared" si="2"/>
        <v>26.149999999999988</v>
      </c>
      <c r="Z9" s="43">
        <f t="shared" si="2"/>
        <v>31.980000000000036</v>
      </c>
    </row>
    <row r="10" spans="1:28" x14ac:dyDescent="0.35">
      <c r="A10" s="77"/>
      <c r="B10" s="41"/>
      <c r="C10" s="41"/>
      <c r="D10" s="41"/>
      <c r="E10" s="85"/>
      <c r="F10" s="85"/>
      <c r="G10" s="85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1:28" x14ac:dyDescent="0.35">
      <c r="A11" s="77" t="s">
        <v>197</v>
      </c>
      <c r="B11" s="41">
        <f>'Resultat-3M'!B11</f>
        <v>-6.3</v>
      </c>
      <c r="C11" s="41">
        <f>+'Resultat-3M'!C11</f>
        <v>-6.2</v>
      </c>
      <c r="D11" s="41">
        <f>+'Resultat-3M'!D11</f>
        <v>-5.9</v>
      </c>
      <c r="E11" s="85">
        <f>+'Resultat-3M'!E11</f>
        <v>-5.9</v>
      </c>
      <c r="F11" s="85">
        <f>+'Resultat-3M'!F11</f>
        <v>-5.9</v>
      </c>
      <c r="G11" s="85">
        <v>-5.7</v>
      </c>
      <c r="H11" s="41">
        <v>-5.66</v>
      </c>
      <c r="I11" s="41">
        <v>-5.6</v>
      </c>
      <c r="J11" s="41">
        <v>-3.665</v>
      </c>
      <c r="K11" s="41">
        <v>-2.69</v>
      </c>
      <c r="L11" s="41">
        <v>-2.754</v>
      </c>
      <c r="M11" s="41">
        <v>-2.754</v>
      </c>
      <c r="N11" s="41">
        <v>-2.754</v>
      </c>
      <c r="O11" s="41">
        <v>-2.75</v>
      </c>
      <c r="P11" s="41">
        <v>-2.754</v>
      </c>
      <c r="Q11" s="41">
        <v>-1.8360000000000001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</row>
    <row r="12" spans="1:28" s="72" customFormat="1" x14ac:dyDescent="0.35">
      <c r="A12" s="78" t="s">
        <v>79</v>
      </c>
      <c r="B12" s="42">
        <f>'Resultat-3M'!B12</f>
        <v>72.2</v>
      </c>
      <c r="C12" s="42">
        <f>+'Resultat-3M'!C12</f>
        <v>40.4</v>
      </c>
      <c r="D12" s="42">
        <f>+'Resultat-3M'!D12</f>
        <v>43.7</v>
      </c>
      <c r="E12" s="86">
        <f>+'Resultat-3M'!E12</f>
        <v>84.9</v>
      </c>
      <c r="F12" s="86">
        <f>+'Resultat-3M'!F12</f>
        <v>88.3</v>
      </c>
      <c r="G12" s="86">
        <v>76.5</v>
      </c>
      <c r="H12" s="42">
        <f>H9+H11</f>
        <v>65.160000000000025</v>
      </c>
      <c r="I12" s="42">
        <f>I9+I11</f>
        <v>99.500000000000014</v>
      </c>
      <c r="J12" s="42">
        <f>J9+J11</f>
        <v>77.142000000000024</v>
      </c>
      <c r="K12" s="42">
        <f t="shared" ref="K12:Z12" si="3">K9+K11</f>
        <v>60.531000000000013</v>
      </c>
      <c r="L12" s="42">
        <f t="shared" si="3"/>
        <v>45.74</v>
      </c>
      <c r="M12" s="42">
        <f t="shared" si="3"/>
        <v>34.979999999999976</v>
      </c>
      <c r="N12" s="42">
        <f t="shared" si="3"/>
        <v>56.279999999999994</v>
      </c>
      <c r="O12" s="42">
        <f t="shared" si="3"/>
        <v>14.12400000000002</v>
      </c>
      <c r="P12" s="42">
        <f t="shared" si="3"/>
        <v>31.415999999999958</v>
      </c>
      <c r="Q12" s="42">
        <f t="shared" si="3"/>
        <v>32.119999999999969</v>
      </c>
      <c r="R12" s="42">
        <f t="shared" si="3"/>
        <v>39.519999999999982</v>
      </c>
      <c r="S12" s="42">
        <f t="shared" si="3"/>
        <v>15.800000000000029</v>
      </c>
      <c r="T12" s="42">
        <f t="shared" si="3"/>
        <v>26.699999999999971</v>
      </c>
      <c r="U12" s="42">
        <f t="shared" si="3"/>
        <v>21.980000000000015</v>
      </c>
      <c r="V12" s="42">
        <f t="shared" si="3"/>
        <v>16.814000000000011</v>
      </c>
      <c r="W12" s="42">
        <f t="shared" si="3"/>
        <v>13.100000000000023</v>
      </c>
      <c r="X12" s="42">
        <f t="shared" si="3"/>
        <v>21.80999999999997</v>
      </c>
      <c r="Y12" s="42">
        <f t="shared" si="3"/>
        <v>26.149999999999988</v>
      </c>
      <c r="Z12" s="42">
        <f t="shared" si="3"/>
        <v>31.980000000000036</v>
      </c>
    </row>
    <row r="13" spans="1:28" x14ac:dyDescent="0.35">
      <c r="A13" s="68" t="s">
        <v>80</v>
      </c>
      <c r="B13" s="70">
        <f>'Resultat-3M'!B13</f>
        <v>-3.8</v>
      </c>
      <c r="C13" s="70">
        <f>+'Resultat-3M'!C13</f>
        <v>5.2</v>
      </c>
      <c r="D13" s="70">
        <f>+'Resultat-3M'!D13</f>
        <v>-5</v>
      </c>
      <c r="E13" s="87">
        <f>+'Resultat-3M'!E13</f>
        <v>-3.7</v>
      </c>
      <c r="F13" s="87">
        <f>+'Resultat-3M'!F13</f>
        <v>-2.2999999999999998</v>
      </c>
      <c r="G13" s="87">
        <v>-3.3</v>
      </c>
      <c r="H13" s="69">
        <v>-2.2999999999999998</v>
      </c>
      <c r="I13" s="69">
        <f>-0.2-0.04</f>
        <v>-0.24000000000000002</v>
      </c>
      <c r="J13" s="69">
        <v>-4.66</v>
      </c>
      <c r="K13" s="69">
        <v>-35.5</v>
      </c>
      <c r="L13" s="69">
        <v>-1.7</v>
      </c>
      <c r="M13" s="69">
        <v>-25.36</v>
      </c>
      <c r="N13" s="69">
        <v>-2.8</v>
      </c>
      <c r="O13" s="69">
        <v>-0.9</v>
      </c>
      <c r="P13" s="69">
        <v>-0.4</v>
      </c>
      <c r="Q13" s="69">
        <v>-0.9</v>
      </c>
      <c r="R13" s="70">
        <v>-0.4</v>
      </c>
      <c r="S13" s="70">
        <v>-1.2</v>
      </c>
      <c r="T13" s="70">
        <v>-1.56</v>
      </c>
      <c r="U13" s="70">
        <v>-0.14000000000000001</v>
      </c>
      <c r="V13" s="70">
        <v>0.4</v>
      </c>
      <c r="W13" s="70">
        <v>-0.2</v>
      </c>
      <c r="X13" s="70">
        <v>-1.4</v>
      </c>
      <c r="Y13" s="70">
        <v>-1</v>
      </c>
      <c r="Z13" s="70">
        <v>-1.3</v>
      </c>
    </row>
    <row r="14" spans="1:28" s="32" customFormat="1" x14ac:dyDescent="0.35">
      <c r="A14" s="59" t="s">
        <v>81</v>
      </c>
      <c r="B14" s="96">
        <f>'Resultat-3M'!B14</f>
        <v>68.400000000000006</v>
      </c>
      <c r="C14" s="96">
        <f>+'Resultat-3M'!C14</f>
        <v>45.6</v>
      </c>
      <c r="D14" s="96">
        <f>+'Resultat-3M'!D14</f>
        <v>38.700000000000003</v>
      </c>
      <c r="E14" s="88">
        <f>+'Resultat-3M'!E14</f>
        <v>81.2</v>
      </c>
      <c r="F14" s="88">
        <f>+'Resultat-3M'!F14</f>
        <v>86.1</v>
      </c>
      <c r="G14" s="88">
        <v>73.2</v>
      </c>
      <c r="H14" s="43">
        <f t="shared" ref="H14" si="4">SUM(H12:H13)</f>
        <v>62.860000000000028</v>
      </c>
      <c r="I14" s="43">
        <f t="shared" ref="I14" si="5">SUM(I12:I13)</f>
        <v>99.260000000000019</v>
      </c>
      <c r="J14" s="43">
        <f t="shared" ref="J14:K14" si="6">SUM(J12:J13)</f>
        <v>72.482000000000028</v>
      </c>
      <c r="K14" s="43">
        <f t="shared" si="6"/>
        <v>25.031000000000013</v>
      </c>
      <c r="L14" s="43">
        <v>44.039999999999978</v>
      </c>
      <c r="M14" s="43">
        <v>9.619999999999969</v>
      </c>
      <c r="N14" s="43">
        <f t="shared" ref="N14:Z14" si="7">SUM(N12:N13)</f>
        <v>53.48</v>
      </c>
      <c r="O14" s="43">
        <f t="shared" si="7"/>
        <v>13.22400000000002</v>
      </c>
      <c r="P14" s="43">
        <f t="shared" si="7"/>
        <v>31.015999999999959</v>
      </c>
      <c r="Q14" s="43">
        <f t="shared" si="7"/>
        <v>31.21999999999997</v>
      </c>
      <c r="R14" s="17">
        <f t="shared" si="7"/>
        <v>39.119999999999983</v>
      </c>
      <c r="S14" s="17">
        <f t="shared" si="7"/>
        <v>14.60000000000003</v>
      </c>
      <c r="T14" s="17">
        <f t="shared" si="7"/>
        <v>25.139999999999972</v>
      </c>
      <c r="U14" s="17">
        <f t="shared" si="7"/>
        <v>21.840000000000014</v>
      </c>
      <c r="V14" s="17">
        <f t="shared" si="7"/>
        <v>17.214000000000009</v>
      </c>
      <c r="W14" s="17">
        <f t="shared" si="7"/>
        <v>12.900000000000023</v>
      </c>
      <c r="X14" s="17">
        <f t="shared" si="7"/>
        <v>20.409999999999972</v>
      </c>
      <c r="Y14" s="17">
        <f t="shared" si="7"/>
        <v>25.149999999999988</v>
      </c>
      <c r="Z14" s="17">
        <f t="shared" si="7"/>
        <v>30.680000000000035</v>
      </c>
    </row>
    <row r="15" spans="1:28" x14ac:dyDescent="0.35">
      <c r="A15" s="31"/>
      <c r="B15" s="17"/>
      <c r="C15" s="17"/>
      <c r="D15" s="17"/>
      <c r="E15" s="85"/>
      <c r="F15" s="85"/>
      <c r="G15" s="85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6"/>
      <c r="S15" s="6"/>
      <c r="T15" s="6"/>
      <c r="U15" s="6"/>
      <c r="V15" s="6"/>
      <c r="W15" s="6"/>
      <c r="X15" s="6"/>
      <c r="Y15" s="6"/>
      <c r="Z15" s="6"/>
    </row>
    <row r="16" spans="1:28" x14ac:dyDescent="0.35">
      <c r="A16" s="29" t="s">
        <v>82</v>
      </c>
      <c r="B16" s="6">
        <f>'Resultat-3M'!B16</f>
        <v>-15.4</v>
      </c>
      <c r="C16" s="6">
        <f>+'Resultat-3M'!C16</f>
        <v>-8.9</v>
      </c>
      <c r="D16" s="6">
        <f>+'Resultat-3M'!D16</f>
        <v>-9.3000000000000007</v>
      </c>
      <c r="E16" s="85">
        <f>+'Resultat-3M'!E16</f>
        <v>-19.7</v>
      </c>
      <c r="F16" s="85">
        <f>+'Resultat-3M'!F16</f>
        <v>-20.2</v>
      </c>
      <c r="G16" s="85">
        <v>-17.399999999999999</v>
      </c>
      <c r="H16" s="41">
        <v>-14.3</v>
      </c>
      <c r="I16" s="41">
        <f>-22-0.04</f>
        <v>-22.04</v>
      </c>
      <c r="J16" s="41">
        <v>-16.962</v>
      </c>
      <c r="K16" s="41">
        <v>-15.429</v>
      </c>
      <c r="L16" s="41">
        <v>-10</v>
      </c>
      <c r="M16" s="41">
        <v>-8.2600000000000016</v>
      </c>
      <c r="N16" s="41">
        <v>-11.9</v>
      </c>
      <c r="O16" s="41">
        <v>-3.8</v>
      </c>
      <c r="P16" s="41">
        <v>-6.5</v>
      </c>
      <c r="Q16" s="41">
        <v>-8.8000000000000007</v>
      </c>
      <c r="R16" s="6">
        <v>-8.4</v>
      </c>
      <c r="S16" s="6">
        <v>-2.7</v>
      </c>
      <c r="T16" s="6">
        <v>-5.0599999999999996</v>
      </c>
      <c r="U16" s="6">
        <v>-4.8600000000000003</v>
      </c>
      <c r="V16" s="6">
        <v>-4</v>
      </c>
      <c r="W16" s="6">
        <v>-3.3</v>
      </c>
      <c r="X16" s="6">
        <v>-2.4</v>
      </c>
      <c r="Y16" s="6">
        <f>-4.4-1.2</f>
        <v>-5.6000000000000005</v>
      </c>
      <c r="Z16" s="6">
        <v>-6.5</v>
      </c>
    </row>
    <row r="17" spans="1:26" s="32" customFormat="1" x14ac:dyDescent="0.35">
      <c r="A17" s="30" t="s">
        <v>83</v>
      </c>
      <c r="B17" s="19">
        <f>'Resultat-3M'!B17</f>
        <v>52.9</v>
      </c>
      <c r="C17" s="19">
        <f>+'Resultat-3M'!C17</f>
        <v>36.700000000000003</v>
      </c>
      <c r="D17" s="19">
        <f>+'Resultat-3M'!D17</f>
        <v>29.4</v>
      </c>
      <c r="E17" s="86">
        <f>+'Resultat-3M'!E17</f>
        <v>61.5</v>
      </c>
      <c r="F17" s="86">
        <f>+'Resultat-3M'!F17</f>
        <v>65.8</v>
      </c>
      <c r="G17" s="86">
        <v>55.9</v>
      </c>
      <c r="H17" s="42">
        <f t="shared" ref="H17" si="8">SUM(H14:H16)</f>
        <v>48.560000000000031</v>
      </c>
      <c r="I17" s="42">
        <f t="shared" ref="I17" si="9">SUM(I14:I16)</f>
        <v>77.220000000000027</v>
      </c>
      <c r="J17" s="42">
        <f t="shared" ref="J17:K17" si="10">SUM(J14:J16)</f>
        <v>55.520000000000024</v>
      </c>
      <c r="K17" s="42">
        <f t="shared" si="10"/>
        <v>9.6020000000000127</v>
      </c>
      <c r="L17" s="42">
        <v>34.039999999999978</v>
      </c>
      <c r="M17" s="42">
        <v>1.3599999999999675</v>
      </c>
      <c r="N17" s="42">
        <f t="shared" ref="N17" si="11">SUM(N14:N16)</f>
        <v>41.58</v>
      </c>
      <c r="O17" s="42">
        <f t="shared" ref="O17:Z17" si="12">SUM(O14:O16)</f>
        <v>9.4240000000000208</v>
      </c>
      <c r="P17" s="42">
        <f t="shared" si="12"/>
        <v>24.515999999999959</v>
      </c>
      <c r="Q17" s="42">
        <f t="shared" si="12"/>
        <v>22.41999999999997</v>
      </c>
      <c r="R17" s="19">
        <f t="shared" si="12"/>
        <v>30.719999999999985</v>
      </c>
      <c r="S17" s="19">
        <f t="shared" si="12"/>
        <v>11.900000000000031</v>
      </c>
      <c r="T17" s="19">
        <f t="shared" si="12"/>
        <v>20.079999999999973</v>
      </c>
      <c r="U17" s="19">
        <f t="shared" si="12"/>
        <v>16.980000000000015</v>
      </c>
      <c r="V17" s="19">
        <f t="shared" si="12"/>
        <v>13.214000000000009</v>
      </c>
      <c r="W17" s="19">
        <f t="shared" si="12"/>
        <v>9.6000000000000227</v>
      </c>
      <c r="X17" s="19">
        <f t="shared" si="12"/>
        <v>18.009999999999973</v>
      </c>
      <c r="Y17" s="19">
        <f t="shared" si="12"/>
        <v>19.549999999999986</v>
      </c>
      <c r="Z17" s="19">
        <f t="shared" si="12"/>
        <v>24.180000000000035</v>
      </c>
    </row>
    <row r="18" spans="1:26" s="32" customFormat="1" x14ac:dyDescent="0.35">
      <c r="A18" s="31"/>
      <c r="B18" s="17"/>
      <c r="C18" s="17"/>
      <c r="D18" s="17"/>
      <c r="E18" s="88"/>
      <c r="F18" s="88"/>
      <c r="G18" s="88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17"/>
      <c r="S18" s="17"/>
      <c r="T18" s="17"/>
      <c r="U18" s="17"/>
      <c r="V18" s="17"/>
      <c r="W18" s="17"/>
      <c r="X18" s="17"/>
      <c r="Y18" s="17"/>
      <c r="Z18" s="17"/>
    </row>
    <row r="19" spans="1:26" x14ac:dyDescent="0.35">
      <c r="A19" s="31" t="s">
        <v>84</v>
      </c>
      <c r="B19" s="17"/>
      <c r="C19" s="17"/>
      <c r="D19" s="17"/>
      <c r="E19" s="85"/>
      <c r="F19" s="85"/>
      <c r="G19" s="85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6"/>
      <c r="S19" s="6"/>
      <c r="T19" s="6"/>
      <c r="U19" s="6"/>
      <c r="V19" s="6"/>
      <c r="W19" s="6"/>
      <c r="X19" s="6"/>
      <c r="Y19" s="6"/>
      <c r="Z19" s="6"/>
    </row>
    <row r="20" spans="1:26" x14ac:dyDescent="0.35">
      <c r="A20" s="22" t="s">
        <v>91</v>
      </c>
      <c r="B20" s="97"/>
      <c r="C20" s="97"/>
      <c r="D20" s="97"/>
      <c r="E20" s="85"/>
      <c r="F20" s="85"/>
      <c r="G20" s="85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6"/>
      <c r="S20" s="6"/>
      <c r="T20" s="6"/>
      <c r="U20" s="6"/>
      <c r="V20" s="6"/>
      <c r="W20" s="6"/>
      <c r="X20" s="6"/>
      <c r="Y20" s="6"/>
      <c r="Z20" s="6"/>
    </row>
    <row r="21" spans="1:26" x14ac:dyDescent="0.35">
      <c r="A21" s="2" t="s">
        <v>93</v>
      </c>
      <c r="B21" s="119">
        <f>'Resultat-3M'!B21</f>
        <v>-0.1</v>
      </c>
      <c r="C21" s="1">
        <f>+'Resultat-3M'!C21</f>
        <v>12</v>
      </c>
      <c r="D21" s="1">
        <f>+'Resultat-3M'!D21</f>
        <v>26.9</v>
      </c>
      <c r="E21" s="85">
        <f>+'Resultat-3M'!E21</f>
        <v>29.9</v>
      </c>
      <c r="F21" s="85">
        <f>+'Resultat-3M'!F21</f>
        <v>-0.1</v>
      </c>
      <c r="G21" s="85">
        <v>-11.1</v>
      </c>
      <c r="H21" s="41">
        <v>-2</v>
      </c>
      <c r="I21" s="41">
        <v>6.3</v>
      </c>
      <c r="J21" s="41">
        <v>0.1</v>
      </c>
      <c r="K21" s="41">
        <v>-3.556</v>
      </c>
      <c r="L21" s="41">
        <v>0.54</v>
      </c>
      <c r="M21" s="41">
        <v>0.14000000000000001</v>
      </c>
      <c r="N21" s="61" t="s">
        <v>43</v>
      </c>
      <c r="O21" s="41">
        <v>1.7</v>
      </c>
      <c r="P21" s="41">
        <v>-15</v>
      </c>
      <c r="Q21" s="41">
        <f>-13.4-0.04</f>
        <v>-13.44</v>
      </c>
      <c r="R21" s="6">
        <v>-0.44</v>
      </c>
      <c r="S21" s="6">
        <v>-0.3</v>
      </c>
      <c r="T21" s="6">
        <v>1.8</v>
      </c>
      <c r="U21" s="6">
        <v>-4.5</v>
      </c>
      <c r="V21" s="6">
        <v>-5.1999999999999998E-2</v>
      </c>
      <c r="W21" s="6">
        <v>-4.3</v>
      </c>
      <c r="X21" s="6">
        <v>-3.8</v>
      </c>
      <c r="Y21" s="6" t="s">
        <v>43</v>
      </c>
      <c r="Z21" s="6" t="s">
        <v>43</v>
      </c>
    </row>
    <row r="22" spans="1:26" x14ac:dyDescent="0.35">
      <c r="A22" s="29" t="s">
        <v>94</v>
      </c>
      <c r="B22" s="115">
        <f>'Resultat-3M'!B22</f>
        <v>0</v>
      </c>
      <c r="C22" s="6">
        <f>+'Resultat-3M'!C22</f>
        <v>-1.7</v>
      </c>
      <c r="D22" s="6">
        <f>+'Resultat-3M'!D22</f>
        <v>-5.9</v>
      </c>
      <c r="E22" s="90">
        <f>+'Resultat-3M'!E22</f>
        <v>-6.6</v>
      </c>
      <c r="F22" s="90">
        <f>+'Resultat-3M'!F22</f>
        <v>0</v>
      </c>
      <c r="G22" s="90">
        <v>2.2999999999999998</v>
      </c>
      <c r="H22" s="61">
        <v>0.44</v>
      </c>
      <c r="I22" s="61">
        <v>-1.34</v>
      </c>
      <c r="J22" s="61">
        <v>0</v>
      </c>
      <c r="K22" s="61">
        <v>0.70399999999999996</v>
      </c>
      <c r="L22" s="61">
        <v>-0.1</v>
      </c>
      <c r="M22" s="61" t="s">
        <v>43</v>
      </c>
      <c r="N22" s="61" t="s">
        <v>43</v>
      </c>
      <c r="O22" s="41">
        <v>-1.1000000000000001</v>
      </c>
      <c r="P22" s="41">
        <v>3.4</v>
      </c>
      <c r="Q22" s="41">
        <v>3</v>
      </c>
      <c r="R22" s="6">
        <v>0.1</v>
      </c>
      <c r="S22" s="6">
        <v>0.44</v>
      </c>
      <c r="T22" s="6">
        <v>-1</v>
      </c>
      <c r="U22" s="6">
        <v>1</v>
      </c>
      <c r="V22" s="62" t="s">
        <v>43</v>
      </c>
      <c r="W22" s="6">
        <v>1</v>
      </c>
      <c r="X22" s="6">
        <v>0.80449999999999999</v>
      </c>
      <c r="Y22" s="6" t="s">
        <v>43</v>
      </c>
      <c r="Z22" s="6" t="s">
        <v>43</v>
      </c>
    </row>
    <row r="23" spans="1:26" x14ac:dyDescent="0.35">
      <c r="A23" s="22" t="s">
        <v>92</v>
      </c>
      <c r="B23" s="116"/>
      <c r="C23" s="97"/>
      <c r="D23" s="97"/>
      <c r="E23" s="85"/>
      <c r="F23" s="85"/>
      <c r="G23" s="85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6"/>
      <c r="S23" s="6"/>
      <c r="T23" s="6"/>
      <c r="U23" s="6"/>
      <c r="V23" s="6"/>
      <c r="W23" s="6"/>
      <c r="X23" s="6"/>
      <c r="Y23" s="6"/>
      <c r="Z23" s="6"/>
    </row>
    <row r="24" spans="1:26" x14ac:dyDescent="0.35">
      <c r="A24" s="29" t="s">
        <v>85</v>
      </c>
      <c r="B24" s="115">
        <f>'Resultat-3M'!B24</f>
        <v>12.1</v>
      </c>
      <c r="C24" s="6">
        <f>+'Resultat-3M'!C24</f>
        <v>13.6</v>
      </c>
      <c r="D24" s="6">
        <f>+'Resultat-3M'!D24</f>
        <v>12.7</v>
      </c>
      <c r="E24" s="85">
        <f>+'Resultat-3M'!E24</f>
        <v>24.2</v>
      </c>
      <c r="F24" s="85">
        <f>+'Resultat-3M'!F24</f>
        <v>4.5</v>
      </c>
      <c r="G24" s="85">
        <v>8.8000000000000007</v>
      </c>
      <c r="H24" s="41">
        <v>4.04</v>
      </c>
      <c r="I24" s="41">
        <f>-8.7</f>
        <v>-8.6999999999999993</v>
      </c>
      <c r="J24" s="41">
        <v>13.762</v>
      </c>
      <c r="K24" s="41">
        <v>-21.591999999999999</v>
      </c>
      <c r="L24" s="41">
        <v>2.7</v>
      </c>
      <c r="M24" s="41">
        <v>-23.66</v>
      </c>
      <c r="N24" s="41">
        <v>23.84</v>
      </c>
      <c r="O24" s="41">
        <v>-10.6</v>
      </c>
      <c r="P24" s="41">
        <v>6</v>
      </c>
      <c r="Q24" s="41">
        <f>-3.6-0.04</f>
        <v>-3.64</v>
      </c>
      <c r="R24" s="6">
        <v>1.6</v>
      </c>
      <c r="S24" s="6">
        <v>-0.6</v>
      </c>
      <c r="T24" s="6">
        <v>-1.9</v>
      </c>
      <c r="U24" s="6">
        <v>1.86</v>
      </c>
      <c r="V24" s="6">
        <v>6</v>
      </c>
      <c r="W24" s="6">
        <v>3.5</v>
      </c>
      <c r="X24" s="6">
        <v>-1.3</v>
      </c>
      <c r="Y24" s="6">
        <v>1.4</v>
      </c>
      <c r="Z24" s="6">
        <v>-0.34</v>
      </c>
    </row>
    <row r="25" spans="1:26" x14ac:dyDescent="0.35">
      <c r="A25" s="29" t="s">
        <v>86</v>
      </c>
      <c r="B25" s="115">
        <f>'Resultat-3M'!B25</f>
        <v>1.9</v>
      </c>
      <c r="C25" s="6">
        <f>+'Resultat-3M'!C25</f>
        <v>0.5</v>
      </c>
      <c r="D25" s="6">
        <f>+'Resultat-3M'!D25</f>
        <v>-0.6</v>
      </c>
      <c r="E25" s="85">
        <f>+'Resultat-3M'!E25</f>
        <v>-7</v>
      </c>
      <c r="F25" s="85">
        <f>+'Resultat-3M'!F25</f>
        <v>1.9</v>
      </c>
      <c r="G25" s="85">
        <v>2.5</v>
      </c>
      <c r="H25" s="41">
        <v>-1.4</v>
      </c>
      <c r="I25" s="41">
        <v>-1.6</v>
      </c>
      <c r="J25" s="41">
        <v>2.2559999999999998</v>
      </c>
      <c r="K25" s="41">
        <v>0.749</v>
      </c>
      <c r="L25" s="41">
        <v>1.2</v>
      </c>
      <c r="M25" s="41">
        <v>2.34</v>
      </c>
      <c r="N25" s="41">
        <v>-1.9</v>
      </c>
      <c r="O25" s="41">
        <v>-0.2</v>
      </c>
      <c r="P25" s="41">
        <v>0.1</v>
      </c>
      <c r="Q25" s="41">
        <v>-2</v>
      </c>
      <c r="R25" s="6">
        <v>3.4</v>
      </c>
      <c r="S25" s="6">
        <v>-0.5</v>
      </c>
      <c r="T25" s="6">
        <v>-1.4</v>
      </c>
      <c r="U25" s="6">
        <v>-0.6</v>
      </c>
      <c r="V25" s="6">
        <v>-1.2</v>
      </c>
      <c r="W25" s="6">
        <v>1.1000000000000001</v>
      </c>
      <c r="X25" s="6">
        <v>0.70450000000000002</v>
      </c>
      <c r="Y25" s="6">
        <v>-2.5</v>
      </c>
      <c r="Z25" s="6">
        <v>-0.74</v>
      </c>
    </row>
    <row r="26" spans="1:26" x14ac:dyDescent="0.35">
      <c r="A26" s="29" t="s">
        <v>94</v>
      </c>
      <c r="B26" s="115">
        <f>'Resultat-3M'!B26</f>
        <v>-0.4</v>
      </c>
      <c r="C26" s="6">
        <f>+'Resultat-3M'!C26</f>
        <v>-0.1</v>
      </c>
      <c r="D26" s="6">
        <f>+'Resultat-3M'!D26</f>
        <v>0.1</v>
      </c>
      <c r="E26" s="85">
        <f>+'Resultat-3M'!E26</f>
        <v>1.4</v>
      </c>
      <c r="F26" s="85">
        <f>+'Resultat-3M'!F26</f>
        <v>-0.4</v>
      </c>
      <c r="G26" s="85">
        <v>-0.5</v>
      </c>
      <c r="H26" s="41">
        <v>0.24</v>
      </c>
      <c r="I26" s="41">
        <v>0.4</v>
      </c>
      <c r="J26" s="41">
        <v>-0.46500000000000002</v>
      </c>
      <c r="K26" s="41">
        <v>-0.17499999999999999</v>
      </c>
      <c r="L26" s="41">
        <v>-0.3</v>
      </c>
      <c r="M26" s="41">
        <v>-0.5</v>
      </c>
      <c r="N26" s="41">
        <v>0.44</v>
      </c>
      <c r="O26" s="41">
        <v>0.1</v>
      </c>
      <c r="P26" s="61" t="s">
        <v>43</v>
      </c>
      <c r="Q26" s="41">
        <v>0.5</v>
      </c>
      <c r="R26" s="6">
        <v>-0.74</v>
      </c>
      <c r="S26" s="6">
        <v>0.14000000000000001</v>
      </c>
      <c r="T26" s="6">
        <v>0.3</v>
      </c>
      <c r="U26" s="6">
        <v>0.1</v>
      </c>
      <c r="V26" s="6">
        <v>0.27200000000000002</v>
      </c>
      <c r="W26" s="6">
        <v>-0.2</v>
      </c>
      <c r="X26" s="6">
        <v>-0.16</v>
      </c>
      <c r="Y26" s="6">
        <v>0.6</v>
      </c>
      <c r="Z26" s="6">
        <v>0.2</v>
      </c>
    </row>
    <row r="27" spans="1:26" s="32" customFormat="1" x14ac:dyDescent="0.35">
      <c r="A27" s="30" t="s">
        <v>87</v>
      </c>
      <c r="B27" s="117">
        <f>'Resultat-3M'!B27</f>
        <v>66.5</v>
      </c>
      <c r="C27" s="19">
        <f>+'Resultat-3M'!C27</f>
        <v>61</v>
      </c>
      <c r="D27" s="19">
        <f>+'Resultat-3M'!D27</f>
        <v>62.6</v>
      </c>
      <c r="E27" s="86">
        <f>+'Resultat-3M'!E27</f>
        <v>103.40000000000002</v>
      </c>
      <c r="F27" s="86">
        <f>+'Resultat-3M'!F27</f>
        <v>71.8</v>
      </c>
      <c r="G27" s="86">
        <v>57.9</v>
      </c>
      <c r="H27" s="42">
        <f t="shared" ref="H27" si="13">SUM(H17:H26)</f>
        <v>49.880000000000031</v>
      </c>
      <c r="I27" s="42">
        <f t="shared" ref="I27" si="14">SUM(I17:I26)</f>
        <v>72.28000000000003</v>
      </c>
      <c r="J27" s="42">
        <f t="shared" ref="J27:K27" si="15">SUM(J17:J26)</f>
        <v>71.17300000000003</v>
      </c>
      <c r="K27" s="42">
        <f t="shared" si="15"/>
        <v>-14.267999999999986</v>
      </c>
      <c r="L27" s="42">
        <v>38.079999999999984</v>
      </c>
      <c r="M27" s="42">
        <f t="shared" ref="M27:N27" si="16">SUM(M17:M26)</f>
        <v>-20.320000000000032</v>
      </c>
      <c r="N27" s="42">
        <f t="shared" si="16"/>
        <v>63.96</v>
      </c>
      <c r="O27" s="42">
        <f t="shared" ref="O27:Z27" si="17">SUM(O17:O26)</f>
        <v>-0.67599999999997917</v>
      </c>
      <c r="P27" s="42">
        <f t="shared" si="17"/>
        <v>19.015999999999963</v>
      </c>
      <c r="Q27" s="42">
        <f t="shared" si="17"/>
        <v>6.8399999999999697</v>
      </c>
      <c r="R27" s="19">
        <f t="shared" si="17"/>
        <v>34.639999999999986</v>
      </c>
      <c r="S27" s="19">
        <f t="shared" si="17"/>
        <v>11.08000000000003</v>
      </c>
      <c r="T27" s="19">
        <f t="shared" si="17"/>
        <v>17.879999999999978</v>
      </c>
      <c r="U27" s="19">
        <f t="shared" si="17"/>
        <v>14.840000000000014</v>
      </c>
      <c r="V27" s="19">
        <f t="shared" si="17"/>
        <v>18.234000000000009</v>
      </c>
      <c r="W27" s="19">
        <f t="shared" si="17"/>
        <v>10.700000000000022</v>
      </c>
      <c r="X27" s="19">
        <f t="shared" si="17"/>
        <v>14.258999999999972</v>
      </c>
      <c r="Y27" s="19">
        <f t="shared" si="17"/>
        <v>19.049999999999986</v>
      </c>
      <c r="Z27" s="19">
        <f t="shared" si="17"/>
        <v>23.300000000000036</v>
      </c>
    </row>
    <row r="28" spans="1:26" s="32" customFormat="1" x14ac:dyDescent="0.35">
      <c r="A28" s="31"/>
      <c r="B28" s="118"/>
      <c r="C28" s="17"/>
      <c r="D28" s="17"/>
      <c r="E28" s="88"/>
      <c r="F28" s="88"/>
      <c r="G28" s="88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17"/>
      <c r="S28" s="17"/>
      <c r="T28" s="17"/>
      <c r="U28" s="17"/>
      <c r="V28" s="17"/>
      <c r="W28" s="17"/>
      <c r="X28" s="17"/>
      <c r="Y28" s="17"/>
      <c r="Z28" s="17"/>
    </row>
    <row r="29" spans="1:26" x14ac:dyDescent="0.35">
      <c r="A29" s="31" t="s">
        <v>88</v>
      </c>
      <c r="B29" s="118"/>
      <c r="C29" s="17"/>
      <c r="D29" s="31"/>
      <c r="E29" s="85"/>
      <c r="F29" s="85"/>
      <c r="G29" s="85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6"/>
      <c r="S29" s="6"/>
      <c r="T29" s="6"/>
      <c r="U29" s="6"/>
      <c r="V29" s="6"/>
      <c r="W29" s="6"/>
      <c r="X29" s="6"/>
      <c r="Y29" s="6"/>
      <c r="Z29" s="6"/>
    </row>
    <row r="30" spans="1:26" s="25" customFormat="1" x14ac:dyDescent="0.35">
      <c r="A30" s="29" t="s">
        <v>89</v>
      </c>
      <c r="B30" s="121">
        <v>1.25</v>
      </c>
      <c r="C30" s="92">
        <f>'Resultat-3M'!C30</f>
        <v>0.87</v>
      </c>
      <c r="D30" s="93">
        <f>'Resultat-3M'!D30</f>
        <v>0.69</v>
      </c>
      <c r="E30" s="92">
        <f>'Resultat-3M'!E30</f>
        <v>1.4532350190429402</v>
      </c>
      <c r="F30" s="92">
        <f>'Resultat-3M'!F30</f>
        <v>1.555975641089546</v>
      </c>
      <c r="G30" s="92">
        <f>'Resultat-3M'!G30</f>
        <v>1.3210704235085677</v>
      </c>
      <c r="H30" s="92">
        <f>'Resultat-3M'!H30</f>
        <v>1.1483622088368699</v>
      </c>
      <c r="I30" s="92">
        <f>'Resultat-3M'!I30</f>
        <v>1.8256939996664177</v>
      </c>
      <c r="J30" s="92">
        <f>'Resultat-3M'!J30</f>
        <v>1.3252022106348662</v>
      </c>
      <c r="K30" s="92">
        <f>'Resultat-3M'!K30</f>
        <v>0.23058825551291126</v>
      </c>
      <c r="L30" s="92">
        <f>'Resultat-3M'!L30</f>
        <v>0.81634217698150391</v>
      </c>
      <c r="M30" s="92">
        <f>'Resultat-3M'!M30</f>
        <v>3.2968004155550144E-2</v>
      </c>
      <c r="N30" s="92">
        <f>'Resultat-3M'!N30</f>
        <v>0.9988301775827243</v>
      </c>
      <c r="O30" s="92">
        <f>'Resultat-3M'!O30</f>
        <v>0.22635544114561104</v>
      </c>
      <c r="P30" s="92">
        <f>'Resultat-3M'!P30</f>
        <v>0.58861963475051138</v>
      </c>
      <c r="Q30" s="92">
        <f>'Resultat-3M'!Q30</f>
        <v>0.54333333333333333</v>
      </c>
      <c r="R30" s="92">
        <f>'Resultat-3M'!R30</f>
        <v>0.76030177040954205</v>
      </c>
      <c r="S30" s="92">
        <f>'Resultat-3M'!S30</f>
        <v>0.29615636923488881</v>
      </c>
      <c r="T30" s="92">
        <f>'Resultat-3M'!T30</f>
        <v>0.49762862802557556</v>
      </c>
      <c r="U30" s="92">
        <f>'Resultat-3M'!U30</f>
        <v>0.42025223563479136</v>
      </c>
      <c r="V30" s="92">
        <f>'Resultat-3M'!V30</f>
        <v>0.32733114666309659</v>
      </c>
      <c r="W30" s="92">
        <f>'Resultat-3M'!W30</f>
        <v>0.23666666666666666</v>
      </c>
      <c r="X30" s="92">
        <f>'Resultat-3M'!X30</f>
        <v>0.44666666666666671</v>
      </c>
      <c r="Y30" s="92">
        <f>'Resultat-3M'!Y30</f>
        <v>0.49333333333333335</v>
      </c>
      <c r="Z30" s="92">
        <f>'Resultat-3M'!Z30</f>
        <v>0.70403345827763297</v>
      </c>
    </row>
    <row r="31" spans="1:26" x14ac:dyDescent="0.35">
      <c r="A31" s="29" t="s">
        <v>90</v>
      </c>
      <c r="B31" s="115">
        <v>42.3</v>
      </c>
      <c r="C31" s="94">
        <f>+'Resultat-3M'!C31</f>
        <v>42.3</v>
      </c>
      <c r="D31" s="95">
        <f>+'Resultat-3M'!D31</f>
        <v>42.3</v>
      </c>
      <c r="E31" s="94">
        <f>+'Resultat-3M'!E31</f>
        <v>42.3</v>
      </c>
      <c r="F31" s="94">
        <f>+'Resultat-3M'!F31</f>
        <v>42.3</v>
      </c>
      <c r="G31" s="94">
        <f>+'Resultat-3M'!G31</f>
        <v>42.3</v>
      </c>
      <c r="H31" s="95">
        <f>+'Resultat-3M'!H31</f>
        <v>42.3</v>
      </c>
      <c r="I31" s="95">
        <f>+'Resultat-3M'!I31</f>
        <v>42.3</v>
      </c>
      <c r="J31" s="95">
        <f>+'Resultat-3M'!J31</f>
        <v>41.9</v>
      </c>
      <c r="K31" s="95">
        <f>+'Resultat-3M'!K31</f>
        <v>41.7</v>
      </c>
      <c r="L31" s="95">
        <f>+'Resultat-3M'!L31</f>
        <v>41.7</v>
      </c>
      <c r="M31" s="95">
        <f>+'Resultat-3M'!M31</f>
        <v>41.7</v>
      </c>
      <c r="N31" s="95">
        <f>+'Resultat-3M'!N31</f>
        <v>41.7</v>
      </c>
      <c r="O31" s="95">
        <f>+'Resultat-3M'!O31</f>
        <v>41.7</v>
      </c>
      <c r="P31" s="95">
        <f>+'Resultat-3M'!P31</f>
        <v>41.7</v>
      </c>
      <c r="Q31" s="95">
        <f>+'Resultat-3M'!Q31</f>
        <v>41.2</v>
      </c>
      <c r="R31" s="95">
        <f>+'Resultat-3M'!R31</f>
        <v>40.299999999999997</v>
      </c>
      <c r="S31" s="95">
        <f>+'Resultat-3M'!S31</f>
        <v>40.299999999999997</v>
      </c>
      <c r="T31" s="95">
        <f>+'Resultat-3M'!T31</f>
        <v>40.299999999999997</v>
      </c>
      <c r="U31" s="95">
        <f>+'Resultat-3M'!U31</f>
        <v>40.299999999999997</v>
      </c>
      <c r="V31" s="95">
        <f>+'Resultat-3M'!V31</f>
        <v>40.299999999999997</v>
      </c>
      <c r="W31" s="95">
        <f>+'Resultat-3M'!W31</f>
        <v>40.299999999999997</v>
      </c>
      <c r="X31" s="95">
        <f>+'Resultat-3M'!X31</f>
        <v>40.299999999999997</v>
      </c>
      <c r="Y31" s="95">
        <f>+'Resultat-3M'!Y31</f>
        <v>39.6</v>
      </c>
      <c r="Z31" s="95">
        <f>+'Resultat-3M'!Z31</f>
        <v>34.299999999999997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31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16" sqref="B16"/>
    </sheetView>
  </sheetViews>
  <sheetFormatPr defaultColWidth="9.1796875" defaultRowHeight="14.5" x14ac:dyDescent="0.35"/>
  <cols>
    <col min="1" max="1" width="57.7265625" style="2" bestFit="1" customWidth="1"/>
    <col min="2" max="2" width="11.453125" style="2" customWidth="1"/>
    <col min="3" max="3" width="9.1796875" style="2" customWidth="1"/>
    <col min="4" max="4" width="9.1796875" style="4" customWidth="1"/>
    <col min="5" max="13" width="9.1796875" style="45"/>
    <col min="14" max="14" width="9.1796875" style="57"/>
    <col min="15" max="17" width="9.1796875" style="45"/>
    <col min="18" max="16384" width="9.1796875" style="2"/>
  </cols>
  <sheetData>
    <row r="1" spans="1:28" ht="23.5" x14ac:dyDescent="0.55000000000000004">
      <c r="A1" s="33" t="s">
        <v>70</v>
      </c>
      <c r="B1" s="33"/>
      <c r="C1" s="33"/>
      <c r="D1" s="98"/>
    </row>
    <row r="2" spans="1:28" s="22" customFormat="1" ht="29" x14ac:dyDescent="0.35">
      <c r="A2" s="14" t="s">
        <v>0</v>
      </c>
      <c r="B2" s="35" t="s">
        <v>237</v>
      </c>
      <c r="C2" s="35" t="s">
        <v>233</v>
      </c>
      <c r="D2" s="35" t="s">
        <v>229</v>
      </c>
      <c r="E2" s="40" t="s">
        <v>223</v>
      </c>
      <c r="F2" s="40" t="s">
        <v>221</v>
      </c>
      <c r="G2" s="46" t="s">
        <v>207</v>
      </c>
      <c r="H2" s="46" t="s">
        <v>205</v>
      </c>
      <c r="I2" s="46" t="s">
        <v>200</v>
      </c>
      <c r="J2" s="46" t="s">
        <v>193</v>
      </c>
      <c r="K2" s="46" t="s">
        <v>190</v>
      </c>
      <c r="L2" s="46" t="s">
        <v>186</v>
      </c>
      <c r="M2" s="46" t="s">
        <v>181</v>
      </c>
      <c r="N2" s="46" t="s">
        <v>142</v>
      </c>
      <c r="O2" s="46" t="s">
        <v>164</v>
      </c>
      <c r="P2" s="46" t="s">
        <v>161</v>
      </c>
      <c r="Q2" s="46" t="s">
        <v>158</v>
      </c>
      <c r="R2" s="35" t="s">
        <v>146</v>
      </c>
      <c r="S2" s="35" t="s">
        <v>165</v>
      </c>
      <c r="T2" s="35" t="s">
        <v>162</v>
      </c>
      <c r="U2" s="35" t="s">
        <v>159</v>
      </c>
      <c r="V2" s="35" t="s">
        <v>144</v>
      </c>
      <c r="W2" s="35" t="s">
        <v>166</v>
      </c>
      <c r="X2" s="35" t="s">
        <v>163</v>
      </c>
      <c r="Y2" s="35" t="s">
        <v>160</v>
      </c>
      <c r="Z2" s="35" t="s">
        <v>145</v>
      </c>
    </row>
    <row r="3" spans="1:28" x14ac:dyDescent="0.35">
      <c r="A3" s="9" t="s">
        <v>3</v>
      </c>
      <c r="B3" s="6">
        <v>533.20000000000005</v>
      </c>
      <c r="C3" s="6">
        <v>1925.6</v>
      </c>
      <c r="D3" s="6">
        <v>1465.7</v>
      </c>
      <c r="E3" s="85">
        <v>1043</v>
      </c>
      <c r="F3" s="85">
        <v>496.6</v>
      </c>
      <c r="G3" s="85">
        <v>1824.8</v>
      </c>
      <c r="H3" s="41">
        <v>1335.4</v>
      </c>
      <c r="I3" s="41">
        <v>919.7</v>
      </c>
      <c r="J3" s="41">
        <v>428.05700000000002</v>
      </c>
      <c r="K3" s="41">
        <f>1536.79+0.04</f>
        <v>1536.83</v>
      </c>
      <c r="L3" s="41">
        <v>1140.2</v>
      </c>
      <c r="M3" s="41">
        <v>784.8</v>
      </c>
      <c r="N3" s="41">
        <v>419.9</v>
      </c>
      <c r="O3" s="41">
        <v>1313.5</v>
      </c>
      <c r="P3" s="41">
        <v>969.4</v>
      </c>
      <c r="Q3" s="41">
        <v>647.5</v>
      </c>
      <c r="R3" s="6">
        <v>299.26</v>
      </c>
      <c r="S3" s="6">
        <v>1138.0999999999999</v>
      </c>
      <c r="T3" s="6">
        <v>859</v>
      </c>
      <c r="U3" s="6">
        <v>593.6</v>
      </c>
      <c r="V3" s="6">
        <v>280.05</v>
      </c>
      <c r="W3" s="6">
        <v>1125.8600000000001</v>
      </c>
      <c r="X3" s="6">
        <v>851</v>
      </c>
      <c r="Y3" s="6">
        <v>594.20000000000005</v>
      </c>
      <c r="Z3" s="6">
        <v>291.54000000000002</v>
      </c>
    </row>
    <row r="4" spans="1:28" x14ac:dyDescent="0.35">
      <c r="A4" s="9" t="s">
        <v>4</v>
      </c>
      <c r="B4" s="6">
        <v>-332.5</v>
      </c>
      <c r="C4" s="6">
        <v>-1214.8</v>
      </c>
      <c r="D4" s="1">
        <v>-925</v>
      </c>
      <c r="E4" s="85">
        <v>-649.29999999999995</v>
      </c>
      <c r="F4" s="85">
        <v>-304.2</v>
      </c>
      <c r="G4" s="85">
        <v>-1121.4000000000001</v>
      </c>
      <c r="H4" s="41">
        <v>-814</v>
      </c>
      <c r="I4" s="41">
        <v>-551.9</v>
      </c>
      <c r="J4" s="41">
        <v>-255.773</v>
      </c>
      <c r="K4" s="41">
        <v>-984.1</v>
      </c>
      <c r="L4" s="41">
        <v>-735.5</v>
      </c>
      <c r="M4" s="41">
        <v>-506.4</v>
      </c>
      <c r="N4" s="41">
        <v>-263.7</v>
      </c>
      <c r="O4" s="41">
        <v>-865.6</v>
      </c>
      <c r="P4" s="41">
        <v>-623.6</v>
      </c>
      <c r="Q4" s="41">
        <v>-408.3</v>
      </c>
      <c r="R4" s="6">
        <v>-183.24</v>
      </c>
      <c r="S4" s="6">
        <v>-759.8</v>
      </c>
      <c r="T4" s="6">
        <v>-573.9</v>
      </c>
      <c r="U4" s="6">
        <v>-395.9</v>
      </c>
      <c r="V4" s="6">
        <v>-185.666</v>
      </c>
      <c r="W4" s="6">
        <v>-738.24</v>
      </c>
      <c r="X4" s="6">
        <v>-553.5</v>
      </c>
      <c r="Y4" s="6">
        <v>-382.8</v>
      </c>
      <c r="Z4" s="6">
        <v>-183.16</v>
      </c>
    </row>
    <row r="5" spans="1:28" s="22" customFormat="1" x14ac:dyDescent="0.35">
      <c r="A5" s="18" t="s">
        <v>5</v>
      </c>
      <c r="B5" s="19">
        <v>200.7</v>
      </c>
      <c r="C5" s="38">
        <v>710.8</v>
      </c>
      <c r="D5" s="38">
        <v>540.70000000000005</v>
      </c>
      <c r="E5" s="86">
        <f>SUM(E3:E4)</f>
        <v>393.70000000000005</v>
      </c>
      <c r="F5" s="86">
        <v>192.4</v>
      </c>
      <c r="G5" s="86">
        <v>703.5</v>
      </c>
      <c r="H5" s="42">
        <f>SUM(H3:H4)</f>
        <v>521.40000000000009</v>
      </c>
      <c r="I5" s="42">
        <f>SUM(I3:I4)</f>
        <v>367.80000000000007</v>
      </c>
      <c r="J5" s="42">
        <f>SUM(J3:J4)</f>
        <v>172.28400000000002</v>
      </c>
      <c r="K5" s="42">
        <f>SUM(K3:K4)</f>
        <v>552.7299999999999</v>
      </c>
      <c r="L5" s="42">
        <f>L3+L4</f>
        <v>404.70000000000005</v>
      </c>
      <c r="M5" s="42">
        <f>M3+M4</f>
        <v>278.39999999999998</v>
      </c>
      <c r="N5" s="42">
        <v>156.19999999999999</v>
      </c>
      <c r="O5" s="42">
        <f>SUM(O3:O4)</f>
        <v>447.9</v>
      </c>
      <c r="P5" s="42">
        <f>SUM(P3:P4)</f>
        <v>345.79999999999995</v>
      </c>
      <c r="Q5" s="42">
        <f>SUM(Q3:Q4)</f>
        <v>239.2</v>
      </c>
      <c r="R5" s="19">
        <f>SUM(R3:R4)</f>
        <v>116.01999999999998</v>
      </c>
      <c r="S5" s="19">
        <v>378.29999999999995</v>
      </c>
      <c r="T5" s="19">
        <f>SUM(T3:T4)</f>
        <v>285.10000000000002</v>
      </c>
      <c r="U5" s="19">
        <f>SUM(U3:U4)</f>
        <v>197.70000000000005</v>
      </c>
      <c r="V5" s="19">
        <f>SUM(V3:V4)</f>
        <v>94.384000000000015</v>
      </c>
      <c r="W5" s="19">
        <v>387.62000000000012</v>
      </c>
      <c r="X5" s="19">
        <f>SUM(X3:X4)</f>
        <v>297.5</v>
      </c>
      <c r="Y5" s="19">
        <f>SUM(Y3:Y4)</f>
        <v>211.40000000000003</v>
      </c>
      <c r="Z5" s="19">
        <f>SUM(Z3:Z4)</f>
        <v>108.38000000000002</v>
      </c>
    </row>
    <row r="6" spans="1:28" x14ac:dyDescent="0.35">
      <c r="A6" s="9"/>
      <c r="B6" s="6"/>
      <c r="C6" s="1"/>
      <c r="D6" s="1"/>
      <c r="E6" s="85"/>
      <c r="F6" s="85"/>
      <c r="G6" s="85"/>
      <c r="H6" s="41"/>
      <c r="I6" s="41"/>
      <c r="J6" s="41"/>
      <c r="K6" s="41"/>
      <c r="L6" s="41"/>
      <c r="M6" s="41"/>
      <c r="N6" s="41"/>
      <c r="O6" s="41"/>
      <c r="P6" s="41"/>
      <c r="Q6" s="41"/>
      <c r="R6" s="6"/>
      <c r="S6" s="6"/>
      <c r="T6" s="6"/>
      <c r="U6" s="6"/>
      <c r="V6" s="6"/>
      <c r="W6" s="6"/>
      <c r="X6" s="6"/>
      <c r="Y6" s="6"/>
      <c r="Z6" s="6"/>
    </row>
    <row r="7" spans="1:28" x14ac:dyDescent="0.35">
      <c r="A7" s="9" t="s">
        <v>6</v>
      </c>
      <c r="B7" s="6">
        <v>-124.1</v>
      </c>
      <c r="C7" s="1">
        <v>-436.7</v>
      </c>
      <c r="D7" s="1">
        <f>-228.3-81.2</f>
        <v>-309.5</v>
      </c>
      <c r="E7" s="85">
        <f>-156.2-54.6</f>
        <v>-210.79999999999998</v>
      </c>
      <c r="F7" s="85">
        <v>-100.7</v>
      </c>
      <c r="G7" s="85">
        <v>-367.5</v>
      </c>
      <c r="H7" s="41">
        <f>-192.2-72.94</f>
        <v>-265.14</v>
      </c>
      <c r="I7" s="41">
        <f>-134.6-52</f>
        <v>-186.6</v>
      </c>
      <c r="J7" s="41">
        <v>-93.703999999999994</v>
      </c>
      <c r="K7" s="41">
        <f>-359.2+10.952</f>
        <v>-348.24799999999999</v>
      </c>
      <c r="L7" s="41">
        <f>-198-71.7+0.04+8.262</f>
        <v>-261.39799999999997</v>
      </c>
      <c r="M7" s="41">
        <f>-138.3-48.4+5.508</f>
        <v>-181.19200000000001</v>
      </c>
      <c r="N7" s="41">
        <f>-97.86+2.754</f>
        <v>-95.105999999999995</v>
      </c>
      <c r="O7" s="41">
        <f>-251.5-84.84+7.365</f>
        <v>-328.97500000000002</v>
      </c>
      <c r="P7" s="41">
        <f>-176.3-69.04+4.59</f>
        <v>-240.75000000000003</v>
      </c>
      <c r="Q7" s="41">
        <f>-121.7-47.8+1.836</f>
        <v>-167.66399999999999</v>
      </c>
      <c r="R7" s="41">
        <v>-77.2</v>
      </c>
      <c r="S7" s="41">
        <v>-307.70000000000005</v>
      </c>
      <c r="T7" s="41">
        <f>-169.5-58</f>
        <v>-227.5</v>
      </c>
      <c r="U7" s="41">
        <f>-119.5-43.6</f>
        <v>-163.1</v>
      </c>
      <c r="V7" s="41">
        <f>-78.98</f>
        <v>-78.98</v>
      </c>
      <c r="W7" s="41">
        <v>-298.76</v>
      </c>
      <c r="X7" s="41">
        <f>-155.5-64.7</f>
        <v>-220.2</v>
      </c>
      <c r="Y7" s="41">
        <f>-109.5-45</f>
        <v>-154.5</v>
      </c>
      <c r="Z7" s="41">
        <f>-53.3-22.9</f>
        <v>-76.199999999999989</v>
      </c>
    </row>
    <row r="8" spans="1:28" x14ac:dyDescent="0.35">
      <c r="A8" s="73" t="s">
        <v>7</v>
      </c>
      <c r="B8" s="70">
        <v>1.9</v>
      </c>
      <c r="C8" s="99">
        <v>7.1</v>
      </c>
      <c r="D8" s="99">
        <v>3.5</v>
      </c>
      <c r="E8" s="87">
        <v>2.1</v>
      </c>
      <c r="F8" s="87">
        <v>2.6</v>
      </c>
      <c r="G8" s="87">
        <v>2.9</v>
      </c>
      <c r="H8" s="69">
        <v>0.46</v>
      </c>
      <c r="I8" s="69">
        <f>4.7-0.04</f>
        <v>4.66</v>
      </c>
      <c r="J8" s="69">
        <v>2.2269999999999999</v>
      </c>
      <c r="K8" s="69">
        <v>4</v>
      </c>
      <c r="L8" s="69">
        <f>1.9+0.04</f>
        <v>1.94</v>
      </c>
      <c r="M8" s="69">
        <v>-0.44</v>
      </c>
      <c r="N8" s="69">
        <v>-2.06</v>
      </c>
      <c r="O8" s="69">
        <v>5.66</v>
      </c>
      <c r="P8" s="69">
        <v>2.6</v>
      </c>
      <c r="Q8" s="69">
        <v>1.9</v>
      </c>
      <c r="R8" s="69">
        <v>0.7</v>
      </c>
      <c r="S8" s="69">
        <v>10.7</v>
      </c>
      <c r="T8" s="69">
        <v>7.9</v>
      </c>
      <c r="U8" s="69">
        <v>4.16</v>
      </c>
      <c r="V8" s="69">
        <v>1.41</v>
      </c>
      <c r="W8" s="69">
        <v>4.3</v>
      </c>
      <c r="X8" s="69">
        <v>2.74</v>
      </c>
      <c r="Y8" s="69">
        <v>1.3</v>
      </c>
      <c r="Z8" s="69">
        <v>-0.2</v>
      </c>
    </row>
    <row r="9" spans="1:28" s="75" customFormat="1" x14ac:dyDescent="0.35">
      <c r="A9" s="81" t="s">
        <v>195</v>
      </c>
      <c r="B9" s="43">
        <v>78.5</v>
      </c>
      <c r="C9" s="100">
        <v>281.2</v>
      </c>
      <c r="D9" s="100">
        <v>234.6</v>
      </c>
      <c r="E9" s="88">
        <f>SUM(E5:E8)</f>
        <v>185.00000000000006</v>
      </c>
      <c r="F9" s="88">
        <v>94.3</v>
      </c>
      <c r="G9" s="88">
        <v>338.9</v>
      </c>
      <c r="H9" s="43">
        <f t="shared" ref="H9" si="0">H5+H7+H8</f>
        <v>256.72000000000008</v>
      </c>
      <c r="I9" s="43">
        <f t="shared" ref="I9:Z9" si="1">I5+I7+I8</f>
        <v>185.86000000000007</v>
      </c>
      <c r="J9" s="43">
        <f t="shared" si="1"/>
        <v>80.807000000000031</v>
      </c>
      <c r="K9" s="43">
        <f t="shared" si="1"/>
        <v>208.48199999999991</v>
      </c>
      <c r="L9" s="43">
        <f t="shared" si="1"/>
        <v>145.24200000000008</v>
      </c>
      <c r="M9" s="43">
        <f t="shared" si="1"/>
        <v>96.767999999999972</v>
      </c>
      <c r="N9" s="43">
        <f t="shared" si="1"/>
        <v>59.033999999999992</v>
      </c>
      <c r="O9" s="43">
        <f t="shared" si="1"/>
        <v>124.58499999999995</v>
      </c>
      <c r="P9" s="43">
        <f t="shared" si="1"/>
        <v>107.64999999999992</v>
      </c>
      <c r="Q9" s="43">
        <f t="shared" si="1"/>
        <v>73.436000000000007</v>
      </c>
      <c r="R9" s="43">
        <f t="shared" si="1"/>
        <v>39.519999999999982</v>
      </c>
      <c r="S9" s="43">
        <f t="shared" si="1"/>
        <v>81.299999999999912</v>
      </c>
      <c r="T9" s="43">
        <f t="shared" si="1"/>
        <v>65.500000000000028</v>
      </c>
      <c r="U9" s="43">
        <f t="shared" si="1"/>
        <v>38.760000000000048</v>
      </c>
      <c r="V9" s="43">
        <f t="shared" si="1"/>
        <v>16.814000000000011</v>
      </c>
      <c r="W9" s="43">
        <f t="shared" si="1"/>
        <v>93.160000000000124</v>
      </c>
      <c r="X9" s="43">
        <f t="shared" si="1"/>
        <v>80.040000000000006</v>
      </c>
      <c r="Y9" s="43">
        <f t="shared" si="1"/>
        <v>58.200000000000031</v>
      </c>
      <c r="Z9" s="43">
        <f t="shared" si="1"/>
        <v>31.980000000000036</v>
      </c>
    </row>
    <row r="10" spans="1:28" x14ac:dyDescent="0.35">
      <c r="A10" s="9"/>
      <c r="B10" s="6"/>
      <c r="C10" s="1"/>
      <c r="D10" s="1"/>
      <c r="E10" s="85"/>
      <c r="F10" s="85"/>
      <c r="G10" s="85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1:28" x14ac:dyDescent="0.35">
      <c r="A11" s="77" t="s">
        <v>196</v>
      </c>
      <c r="B11" s="41">
        <v>-6.3</v>
      </c>
      <c r="C11" s="50">
        <v>-23.9</v>
      </c>
      <c r="D11" s="50">
        <v>-17.7</v>
      </c>
      <c r="E11" s="85">
        <v>-11.8</v>
      </c>
      <c r="F11" s="85">
        <v>-5.9</v>
      </c>
      <c r="G11" s="85">
        <v>-20.6</v>
      </c>
      <c r="H11" s="41">
        <v>-14.9</v>
      </c>
      <c r="I11" s="41">
        <v>-9.24</v>
      </c>
      <c r="J11" s="41">
        <v>-3.665</v>
      </c>
      <c r="K11" s="41">
        <v>-10.952</v>
      </c>
      <c r="L11" s="41">
        <v>-8.2620000000000005</v>
      </c>
      <c r="M11" s="41">
        <v>-5.508</v>
      </c>
      <c r="N11" s="41">
        <v>-2.754</v>
      </c>
      <c r="O11" s="41">
        <v>-7.3650000000000002</v>
      </c>
      <c r="P11" s="41">
        <v>-4.59</v>
      </c>
      <c r="Q11" s="41">
        <v>-1.8360000000000001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</row>
    <row r="12" spans="1:28" s="22" customFormat="1" x14ac:dyDescent="0.35">
      <c r="A12" s="18" t="s">
        <v>8</v>
      </c>
      <c r="B12" s="19">
        <v>72.2</v>
      </c>
      <c r="C12" s="38">
        <v>257.3</v>
      </c>
      <c r="D12" s="38">
        <v>216.9</v>
      </c>
      <c r="E12" s="86">
        <f>SUM(E9:E11)</f>
        <v>173.20000000000005</v>
      </c>
      <c r="F12" s="86">
        <v>88.3</v>
      </c>
      <c r="G12" s="86">
        <v>318.3</v>
      </c>
      <c r="H12" s="42">
        <f>H9+H11</f>
        <v>241.82000000000008</v>
      </c>
      <c r="I12" s="42">
        <f>I9+I11</f>
        <v>176.62000000000006</v>
      </c>
      <c r="J12" s="42">
        <f>J9+J11</f>
        <v>77.142000000000024</v>
      </c>
      <c r="K12" s="42">
        <f t="shared" ref="K12:Z12" si="2">K9+K11</f>
        <v>197.52999999999992</v>
      </c>
      <c r="L12" s="42">
        <f t="shared" si="2"/>
        <v>136.98000000000008</v>
      </c>
      <c r="M12" s="42">
        <f t="shared" si="2"/>
        <v>91.259999999999977</v>
      </c>
      <c r="N12" s="42">
        <f t="shared" si="2"/>
        <v>56.279999999999994</v>
      </c>
      <c r="O12" s="42">
        <f t="shared" si="2"/>
        <v>117.21999999999996</v>
      </c>
      <c r="P12" s="42">
        <f t="shared" si="2"/>
        <v>103.05999999999992</v>
      </c>
      <c r="Q12" s="42">
        <f t="shared" si="2"/>
        <v>71.600000000000009</v>
      </c>
      <c r="R12" s="42">
        <f t="shared" si="2"/>
        <v>39.519999999999982</v>
      </c>
      <c r="S12" s="42">
        <f t="shared" si="2"/>
        <v>81.299999999999912</v>
      </c>
      <c r="T12" s="42">
        <f t="shared" si="2"/>
        <v>65.500000000000028</v>
      </c>
      <c r="U12" s="42">
        <f t="shared" si="2"/>
        <v>38.760000000000048</v>
      </c>
      <c r="V12" s="42">
        <f t="shared" si="2"/>
        <v>16.814000000000011</v>
      </c>
      <c r="W12" s="42">
        <f t="shared" si="2"/>
        <v>93.160000000000124</v>
      </c>
      <c r="X12" s="42">
        <f t="shared" si="2"/>
        <v>80.040000000000006</v>
      </c>
      <c r="Y12" s="42">
        <f t="shared" si="2"/>
        <v>58.200000000000031</v>
      </c>
      <c r="Z12" s="42">
        <f t="shared" si="2"/>
        <v>31.980000000000036</v>
      </c>
    </row>
    <row r="13" spans="1:28" x14ac:dyDescent="0.35">
      <c r="A13" s="9" t="s">
        <v>9</v>
      </c>
      <c r="B13" s="6">
        <v>-3.8</v>
      </c>
      <c r="C13" s="1">
        <v>-5.7</v>
      </c>
      <c r="D13" s="1">
        <v>-11</v>
      </c>
      <c r="E13" s="85">
        <v>-6</v>
      </c>
      <c r="F13" s="85">
        <v>-2.2999999999999998</v>
      </c>
      <c r="G13" s="85">
        <v>-10.4</v>
      </c>
      <c r="H13" s="41">
        <v>-7.1</v>
      </c>
      <c r="I13" s="41">
        <f>-4.9+0.04</f>
        <v>-4.8600000000000003</v>
      </c>
      <c r="J13" s="41">
        <v>-4.66</v>
      </c>
      <c r="K13" s="41">
        <f>-65.406+0.04</f>
        <v>-65.366</v>
      </c>
      <c r="L13" s="41">
        <v>-29.9</v>
      </c>
      <c r="M13" s="41">
        <v>-28.14</v>
      </c>
      <c r="N13" s="41">
        <v>-2.8</v>
      </c>
      <c r="O13" s="41">
        <v>-2.74</v>
      </c>
      <c r="P13" s="41">
        <v>-1.84</v>
      </c>
      <c r="Q13" s="41">
        <f>-1.4+0.04</f>
        <v>-1.3599999999999999</v>
      </c>
      <c r="R13" s="6">
        <v>-0.4</v>
      </c>
      <c r="S13" s="6">
        <v>-2.5</v>
      </c>
      <c r="T13" s="6">
        <v>-1.3</v>
      </c>
      <c r="U13" s="6">
        <v>0.26</v>
      </c>
      <c r="V13" s="6">
        <v>0.4</v>
      </c>
      <c r="W13" s="6">
        <v>-4.04</v>
      </c>
      <c r="X13" s="6">
        <v>-3.76</v>
      </c>
      <c r="Y13" s="6">
        <v>-2.2999999999999998</v>
      </c>
      <c r="Z13" s="6">
        <v>-1.3</v>
      </c>
    </row>
    <row r="14" spans="1:28" s="22" customFormat="1" x14ac:dyDescent="0.35">
      <c r="A14" s="18" t="s">
        <v>10</v>
      </c>
      <c r="B14" s="19">
        <v>68.400000000000006</v>
      </c>
      <c r="C14" s="38">
        <v>251.6</v>
      </c>
      <c r="D14" s="38">
        <v>205.9</v>
      </c>
      <c r="E14" s="86">
        <f>SUM(E12:E13)</f>
        <v>167.20000000000005</v>
      </c>
      <c r="F14" s="86">
        <v>86.1</v>
      </c>
      <c r="G14" s="86">
        <v>307.89999999999998</v>
      </c>
      <c r="H14" s="42">
        <f>SUM(H12:H13)</f>
        <v>234.72000000000008</v>
      </c>
      <c r="I14" s="42">
        <f>SUM(I12:I13)</f>
        <v>171.76000000000005</v>
      </c>
      <c r="J14" s="42">
        <f>SUM(J12:J13)</f>
        <v>72.482000000000028</v>
      </c>
      <c r="K14" s="42">
        <f>SUM(K12:K13)</f>
        <v>132.16399999999993</v>
      </c>
      <c r="L14" s="42">
        <f>L12+L13</f>
        <v>107.08000000000007</v>
      </c>
      <c r="M14" s="42">
        <f>M12+M13</f>
        <v>63.119999999999976</v>
      </c>
      <c r="N14" s="42">
        <v>53.47999999999999</v>
      </c>
      <c r="O14" s="42">
        <f>SUM(O12:O13)</f>
        <v>114.47999999999996</v>
      </c>
      <c r="P14" s="42">
        <f>SUM(P12:P13)</f>
        <v>101.21999999999991</v>
      </c>
      <c r="Q14" s="42">
        <f>SUM(Q12:Q13)</f>
        <v>70.240000000000009</v>
      </c>
      <c r="R14" s="19">
        <f>SUM(R12:R13)</f>
        <v>39.119999999999983</v>
      </c>
      <c r="S14" s="19">
        <v>78.799999999999912</v>
      </c>
      <c r="T14" s="19">
        <f>SUM(T12:T13)</f>
        <v>64.200000000000031</v>
      </c>
      <c r="U14" s="19">
        <f>SUM(U12:U13)</f>
        <v>39.020000000000046</v>
      </c>
      <c r="V14" s="19">
        <f>SUM(V12:V13)</f>
        <v>17.214000000000009</v>
      </c>
      <c r="W14" s="19">
        <v>89.120000000000118</v>
      </c>
      <c r="X14" s="19">
        <f t="shared" ref="X14:Z14" si="3">SUM(X12:X13)</f>
        <v>76.28</v>
      </c>
      <c r="Y14" s="19">
        <f t="shared" si="3"/>
        <v>55.900000000000034</v>
      </c>
      <c r="Z14" s="19">
        <f t="shared" si="3"/>
        <v>30.680000000000035</v>
      </c>
    </row>
    <row r="15" spans="1:28" s="22" customFormat="1" x14ac:dyDescent="0.35">
      <c r="A15" s="16"/>
      <c r="B15" s="17"/>
      <c r="C15" s="101"/>
      <c r="D15" s="101"/>
      <c r="E15" s="88"/>
      <c r="F15" s="88"/>
      <c r="G15" s="88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17"/>
      <c r="S15" s="17"/>
      <c r="T15" s="17"/>
      <c r="U15" s="17"/>
      <c r="V15" s="17"/>
      <c r="W15" s="17"/>
      <c r="X15" s="17"/>
      <c r="Y15" s="17"/>
      <c r="Z15" s="17"/>
    </row>
    <row r="16" spans="1:28" x14ac:dyDescent="0.35">
      <c r="A16" s="9" t="s">
        <v>11</v>
      </c>
      <c r="B16" s="6">
        <v>-15.4</v>
      </c>
      <c r="C16" s="1">
        <v>-58.1</v>
      </c>
      <c r="D16" s="1">
        <v>-49.2</v>
      </c>
      <c r="E16" s="85">
        <v>-39.9</v>
      </c>
      <c r="F16" s="85">
        <v>-20.2</v>
      </c>
      <c r="G16" s="85">
        <v>-70.7</v>
      </c>
      <c r="H16" s="41">
        <v>-53.3</v>
      </c>
      <c r="I16" s="41">
        <v>-39</v>
      </c>
      <c r="J16" s="41">
        <v>-16.962</v>
      </c>
      <c r="K16" s="41">
        <v>-45.564</v>
      </c>
      <c r="L16" s="41">
        <v>-30.1</v>
      </c>
      <c r="M16" s="41">
        <v>-20.100000000000001</v>
      </c>
      <c r="N16" s="41">
        <v>-11.9</v>
      </c>
      <c r="O16" s="41">
        <v>-27.44</v>
      </c>
      <c r="P16" s="41">
        <v>-23.6</v>
      </c>
      <c r="Q16" s="41">
        <f>-17.2+0.04</f>
        <v>-17.16</v>
      </c>
      <c r="R16" s="6">
        <v>-8.4</v>
      </c>
      <c r="S16" s="6">
        <v>-16.600000000000001</v>
      </c>
      <c r="T16" s="6">
        <v>-14</v>
      </c>
      <c r="U16" s="6">
        <v>-8.86</v>
      </c>
      <c r="V16" s="6">
        <v>-4</v>
      </c>
      <c r="W16" s="6">
        <v>-17.8</v>
      </c>
      <c r="X16" s="6">
        <v>-14.5</v>
      </c>
      <c r="Y16" s="6">
        <f>-10.9-1.2</f>
        <v>-12.1</v>
      </c>
      <c r="Z16" s="6">
        <v>-6.5</v>
      </c>
    </row>
    <row r="17" spans="1:44" s="22" customFormat="1" x14ac:dyDescent="0.35">
      <c r="A17" s="18" t="s">
        <v>12</v>
      </c>
      <c r="B17" s="19">
        <f>'Resultat-3M'!B17</f>
        <v>52.9</v>
      </c>
      <c r="C17" s="38">
        <v>193.4</v>
      </c>
      <c r="D17" s="38">
        <v>156.69999999999999</v>
      </c>
      <c r="E17" s="86">
        <f>SUM(E14:E16)</f>
        <v>127.30000000000004</v>
      </c>
      <c r="F17" s="86">
        <v>65.8</v>
      </c>
      <c r="G17" s="86">
        <v>237.3</v>
      </c>
      <c r="H17" s="42">
        <f>SUM(H14:H16)</f>
        <v>181.42000000000007</v>
      </c>
      <c r="I17" s="42">
        <f>SUM(I14:I16)</f>
        <v>132.76000000000005</v>
      </c>
      <c r="J17" s="42">
        <f>SUM(J14:J16)</f>
        <v>55.520000000000024</v>
      </c>
      <c r="K17" s="42">
        <f>SUM(K14:K16)</f>
        <v>86.599999999999937</v>
      </c>
      <c r="L17" s="42">
        <f>L14+L16</f>
        <v>76.980000000000075</v>
      </c>
      <c r="M17" s="42">
        <f>M14+M16</f>
        <v>43.019999999999975</v>
      </c>
      <c r="N17" s="42">
        <v>41.579999999999991</v>
      </c>
      <c r="O17" s="42">
        <f>SUM(O14:O16)</f>
        <v>87.039999999999964</v>
      </c>
      <c r="P17" s="42">
        <f>SUM(P14:P16)</f>
        <v>77.619999999999919</v>
      </c>
      <c r="Q17" s="42">
        <f>SUM(Q14:Q16)</f>
        <v>53.080000000000013</v>
      </c>
      <c r="R17" s="19">
        <f>SUM(R14:R16)</f>
        <v>30.719999999999985</v>
      </c>
      <c r="S17" s="19">
        <v>62.19999999999991</v>
      </c>
      <c r="T17" s="19">
        <f>SUM(T14:T16)</f>
        <v>50.200000000000031</v>
      </c>
      <c r="U17" s="19">
        <f>SUM(U14:U16)</f>
        <v>30.160000000000046</v>
      </c>
      <c r="V17" s="19">
        <f>SUM(V14:V16)</f>
        <v>13.214000000000009</v>
      </c>
      <c r="W17" s="19">
        <v>71.320000000000121</v>
      </c>
      <c r="X17" s="19">
        <f>SUM(X14:X16)</f>
        <v>61.78</v>
      </c>
      <c r="Y17" s="19">
        <f>SUM(Y14:Y16)</f>
        <v>43.800000000000033</v>
      </c>
      <c r="Z17" s="19">
        <f>SUM(Z14:Z16)</f>
        <v>24.180000000000035</v>
      </c>
    </row>
    <row r="18" spans="1:44" x14ac:dyDescent="0.35">
      <c r="A18" s="9"/>
      <c r="B18" s="6"/>
      <c r="C18" s="1"/>
      <c r="D18" s="1"/>
      <c r="E18" s="88"/>
      <c r="F18" s="88"/>
      <c r="G18" s="88"/>
      <c r="H18" s="43"/>
      <c r="I18" s="43"/>
      <c r="J18" s="43"/>
      <c r="K18" s="43"/>
      <c r="L18" s="41"/>
      <c r="M18" s="41"/>
      <c r="N18" s="41"/>
      <c r="O18" s="41"/>
      <c r="P18" s="41"/>
      <c r="Q18" s="41"/>
      <c r="R18" s="6"/>
      <c r="S18" s="6"/>
      <c r="T18" s="6"/>
      <c r="U18" s="6"/>
      <c r="V18" s="6"/>
      <c r="W18" s="6"/>
      <c r="X18" s="6"/>
      <c r="Y18" s="6"/>
      <c r="Z18" s="6"/>
    </row>
    <row r="19" spans="1:44" x14ac:dyDescent="0.35">
      <c r="A19" s="20" t="s">
        <v>13</v>
      </c>
      <c r="B19" s="17"/>
      <c r="C19" s="101"/>
      <c r="D19" s="101"/>
      <c r="E19" s="85"/>
      <c r="F19" s="85"/>
      <c r="G19" s="85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6"/>
      <c r="S19" s="6"/>
      <c r="T19" s="6"/>
      <c r="U19" s="6"/>
      <c r="V19" s="6"/>
      <c r="W19" s="6"/>
      <c r="X19" s="6"/>
      <c r="Y19" s="6"/>
      <c r="Z19" s="6"/>
    </row>
    <row r="20" spans="1:44" x14ac:dyDescent="0.35">
      <c r="A20" s="20" t="s">
        <v>14</v>
      </c>
      <c r="B20" s="17"/>
      <c r="C20" s="101"/>
      <c r="D20" s="101"/>
      <c r="E20" s="85"/>
      <c r="F20" s="85"/>
      <c r="G20" s="85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6"/>
      <c r="S20" s="6"/>
      <c r="T20" s="6"/>
      <c r="U20" s="6"/>
      <c r="V20" s="6"/>
      <c r="W20" s="6"/>
      <c r="X20" s="6"/>
      <c r="Y20" s="6"/>
      <c r="Z20" s="6"/>
    </row>
    <row r="21" spans="1:44" x14ac:dyDescent="0.35">
      <c r="A21" s="10" t="s">
        <v>15</v>
      </c>
      <c r="B21" s="6">
        <f>'Resultat-3M'!B21</f>
        <v>-0.1</v>
      </c>
      <c r="C21" s="1">
        <v>68.8</v>
      </c>
      <c r="D21" s="1">
        <v>56.8</v>
      </c>
      <c r="E21" s="85">
        <v>29.8</v>
      </c>
      <c r="F21" s="85">
        <v>-0.1</v>
      </c>
      <c r="G21" s="85">
        <v>-6.7</v>
      </c>
      <c r="H21" s="41">
        <v>4.4000000000000004</v>
      </c>
      <c r="I21" s="41">
        <v>6.4</v>
      </c>
      <c r="J21" s="41">
        <v>0.1</v>
      </c>
      <c r="K21" s="41">
        <v>-2.8690000000000002</v>
      </c>
      <c r="L21" s="41">
        <v>0.7</v>
      </c>
      <c r="M21" s="41">
        <v>0.1</v>
      </c>
      <c r="N21" s="61" t="s">
        <v>43</v>
      </c>
      <c r="O21" s="41">
        <v>-27.2</v>
      </c>
      <c r="P21" s="41">
        <v>-28.9</v>
      </c>
      <c r="Q21" s="41">
        <v>-13.9</v>
      </c>
      <c r="R21" s="6">
        <v>-0.44</v>
      </c>
      <c r="S21" s="6">
        <v>-3.1</v>
      </c>
      <c r="T21" s="6">
        <v>-2.7</v>
      </c>
      <c r="U21" s="6">
        <v>-4.5999999999999996</v>
      </c>
      <c r="V21" s="6">
        <v>-0.05</v>
      </c>
      <c r="W21" s="6">
        <v>-8</v>
      </c>
      <c r="X21" s="6">
        <v>-3.8</v>
      </c>
      <c r="Y21" s="62" t="s">
        <v>43</v>
      </c>
      <c r="Z21" s="62" t="s">
        <v>43</v>
      </c>
    </row>
    <row r="22" spans="1:44" x14ac:dyDescent="0.35">
      <c r="A22" s="10" t="s">
        <v>16</v>
      </c>
      <c r="B22" s="6">
        <f>'Resultat-3M'!B22</f>
        <v>0</v>
      </c>
      <c r="C22" s="1">
        <v>-14.2</v>
      </c>
      <c r="D22" s="1">
        <v>-12.5</v>
      </c>
      <c r="E22" s="85">
        <v>-6.6</v>
      </c>
      <c r="F22" s="85">
        <v>0</v>
      </c>
      <c r="G22" s="85">
        <v>1.4</v>
      </c>
      <c r="H22" s="41">
        <v>-0.9</v>
      </c>
      <c r="I22" s="41">
        <v>-1.34</v>
      </c>
      <c r="J22" s="41">
        <v>0</v>
      </c>
      <c r="K22" s="41">
        <v>0.56299999999999994</v>
      </c>
      <c r="L22" s="67">
        <v>-0.1</v>
      </c>
      <c r="M22" s="65" t="s">
        <v>43</v>
      </c>
      <c r="N22" s="61" t="s">
        <v>43</v>
      </c>
      <c r="O22" s="41">
        <v>5.4</v>
      </c>
      <c r="P22" s="41">
        <v>6.4</v>
      </c>
      <c r="Q22" s="41">
        <v>3</v>
      </c>
      <c r="R22" s="6">
        <v>0.1</v>
      </c>
      <c r="S22" s="6">
        <v>0.5</v>
      </c>
      <c r="T22" s="62" t="s">
        <v>43</v>
      </c>
      <c r="U22" s="6">
        <v>1</v>
      </c>
      <c r="V22" s="62" t="s">
        <v>43</v>
      </c>
      <c r="W22" s="6">
        <v>1.8</v>
      </c>
      <c r="X22" s="6">
        <v>0.84</v>
      </c>
      <c r="Y22" s="62" t="s">
        <v>43</v>
      </c>
      <c r="Z22" s="62" t="s">
        <v>43</v>
      </c>
    </row>
    <row r="23" spans="1:44" x14ac:dyDescent="0.35">
      <c r="A23" s="20" t="s">
        <v>17</v>
      </c>
      <c r="B23" s="17"/>
      <c r="C23" s="101"/>
      <c r="D23" s="101"/>
      <c r="E23" s="85"/>
      <c r="F23" s="85"/>
      <c r="G23" s="85" t="s">
        <v>209</v>
      </c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6"/>
      <c r="S23" s="6"/>
      <c r="T23" s="6"/>
      <c r="U23" s="6"/>
      <c r="V23" s="6"/>
      <c r="W23" s="6"/>
      <c r="X23" s="6"/>
      <c r="Y23" s="6"/>
      <c r="Z23" s="6"/>
    </row>
    <row r="24" spans="1:44" x14ac:dyDescent="0.35">
      <c r="A24" s="10" t="s">
        <v>18</v>
      </c>
      <c r="B24" s="6">
        <f>'Resultat-3M'!B24</f>
        <v>12.1</v>
      </c>
      <c r="C24" s="1">
        <v>54.9</v>
      </c>
      <c r="D24" s="1">
        <v>41.4</v>
      </c>
      <c r="E24" s="85">
        <v>28.7</v>
      </c>
      <c r="F24" s="85">
        <v>4.5</v>
      </c>
      <c r="G24" s="85">
        <v>17.8</v>
      </c>
      <c r="H24" s="41">
        <v>9</v>
      </c>
      <c r="I24" s="41">
        <v>5</v>
      </c>
      <c r="J24" s="41">
        <f>13.762-0.1</f>
        <v>13.662000000000001</v>
      </c>
      <c r="K24" s="41">
        <v>-18.692</v>
      </c>
      <c r="L24" s="41">
        <v>2.9</v>
      </c>
      <c r="M24" s="41">
        <v>0.2</v>
      </c>
      <c r="N24" s="41">
        <v>23.84</v>
      </c>
      <c r="O24" s="41">
        <v>-6.66</v>
      </c>
      <c r="P24" s="41">
        <v>4</v>
      </c>
      <c r="Q24" s="41">
        <v>-2</v>
      </c>
      <c r="R24" s="6">
        <v>1.6</v>
      </c>
      <c r="S24" s="6">
        <v>5.4</v>
      </c>
      <c r="T24" s="6">
        <v>6</v>
      </c>
      <c r="U24" s="6">
        <v>7.96</v>
      </c>
      <c r="V24" s="6">
        <v>6</v>
      </c>
      <c r="W24" s="6">
        <v>3.4</v>
      </c>
      <c r="X24" s="6">
        <v>-0.2</v>
      </c>
      <c r="Y24" s="6">
        <v>1.1000000000000001</v>
      </c>
      <c r="Z24" s="6">
        <v>-0.34</v>
      </c>
    </row>
    <row r="25" spans="1:44" x14ac:dyDescent="0.35">
      <c r="A25" s="10" t="s">
        <v>19</v>
      </c>
      <c r="B25" s="6">
        <f>'Resultat-3M'!B25</f>
        <v>1.9</v>
      </c>
      <c r="C25" s="1">
        <v>-5.3</v>
      </c>
      <c r="D25" s="1">
        <v>-5.8</v>
      </c>
      <c r="E25" s="85">
        <v>-5.0999999999999996</v>
      </c>
      <c r="F25" s="85">
        <v>1.9</v>
      </c>
      <c r="G25" s="85">
        <v>1.8</v>
      </c>
      <c r="H25" s="41">
        <v>-0.7</v>
      </c>
      <c r="I25" s="41">
        <v>0.7</v>
      </c>
      <c r="J25" s="41">
        <v>2.2559999999999998</v>
      </c>
      <c r="K25" s="41">
        <v>2.2999999999999998</v>
      </c>
      <c r="L25" s="41">
        <v>1.6</v>
      </c>
      <c r="M25" s="41">
        <v>0.4</v>
      </c>
      <c r="N25" s="41">
        <v>-1.9</v>
      </c>
      <c r="O25" s="41">
        <v>1.3</v>
      </c>
      <c r="P25" s="41">
        <v>1.5</v>
      </c>
      <c r="Q25" s="41">
        <v>1.4</v>
      </c>
      <c r="R25" s="6">
        <v>3.4</v>
      </c>
      <c r="S25" s="6">
        <v>-3.8</v>
      </c>
      <c r="T25" s="6">
        <v>-3.3</v>
      </c>
      <c r="U25" s="6">
        <v>-1.9</v>
      </c>
      <c r="V25" s="6">
        <v>-1.2350000000000001</v>
      </c>
      <c r="W25" s="6">
        <v>-1.4</v>
      </c>
      <c r="X25" s="6">
        <v>-2.5</v>
      </c>
      <c r="Y25" s="6">
        <v>-3.2</v>
      </c>
      <c r="Z25" s="6">
        <v>-0.74</v>
      </c>
    </row>
    <row r="26" spans="1:44" x14ac:dyDescent="0.35">
      <c r="A26" s="9" t="s">
        <v>16</v>
      </c>
      <c r="B26" s="6">
        <f>'Resultat-3M'!B26</f>
        <v>-0.4</v>
      </c>
      <c r="C26" s="1">
        <v>1.1000000000000001</v>
      </c>
      <c r="D26" s="1">
        <v>1.2</v>
      </c>
      <c r="E26" s="85">
        <v>1.1000000000000001</v>
      </c>
      <c r="F26" s="85">
        <v>-0.4</v>
      </c>
      <c r="G26" s="85">
        <v>-0.4</v>
      </c>
      <c r="H26" s="41">
        <v>0.1</v>
      </c>
      <c r="I26" s="41">
        <v>-0.14000000000000001</v>
      </c>
      <c r="J26" s="41">
        <v>-0.46500000000000002</v>
      </c>
      <c r="K26" s="41">
        <v>-0.51900000000000002</v>
      </c>
      <c r="L26" s="41">
        <v>-0.34</v>
      </c>
      <c r="M26" s="41">
        <v>-0.1</v>
      </c>
      <c r="N26" s="41">
        <v>0.44</v>
      </c>
      <c r="O26" s="41">
        <v>-0.3</v>
      </c>
      <c r="P26" s="41">
        <v>-0.3</v>
      </c>
      <c r="Q26" s="41">
        <v>-0.3</v>
      </c>
      <c r="R26" s="6">
        <v>-0.74</v>
      </c>
      <c r="S26" s="6">
        <v>0.8</v>
      </c>
      <c r="T26" s="6">
        <v>0.7</v>
      </c>
      <c r="U26" s="6">
        <v>0.4</v>
      </c>
      <c r="V26" s="6">
        <v>0.27200000000000002</v>
      </c>
      <c r="W26" s="6">
        <v>0.3</v>
      </c>
      <c r="X26" s="6">
        <v>0.54</v>
      </c>
      <c r="Y26" s="6">
        <v>0.745</v>
      </c>
      <c r="Z26" s="6">
        <v>0.2</v>
      </c>
    </row>
    <row r="27" spans="1:44" s="22" customFormat="1" x14ac:dyDescent="0.35">
      <c r="A27" s="18" t="s">
        <v>20</v>
      </c>
      <c r="B27" s="19">
        <f>'Resultat-3M'!B27</f>
        <v>66.5</v>
      </c>
      <c r="C27" s="38">
        <v>298.7</v>
      </c>
      <c r="D27" s="38">
        <v>237.7</v>
      </c>
      <c r="E27" s="86">
        <f>SUM(E17:E26)</f>
        <v>175.20000000000005</v>
      </c>
      <c r="F27" s="86">
        <v>71.8</v>
      </c>
      <c r="G27" s="86">
        <v>251.3</v>
      </c>
      <c r="H27" s="42">
        <f t="shared" ref="H27" si="4">SUM(H17:H26)</f>
        <v>193.32000000000008</v>
      </c>
      <c r="I27" s="42">
        <f t="shared" ref="I27" si="5">SUM(I17:I26)</f>
        <v>143.38000000000005</v>
      </c>
      <c r="J27" s="42">
        <f t="shared" ref="J27:K27" si="6">SUM(J17:J26)</f>
        <v>71.073000000000022</v>
      </c>
      <c r="K27" s="42">
        <f t="shared" si="6"/>
        <v>67.382999999999939</v>
      </c>
      <c r="L27" s="42">
        <f>SUM(L17:L26)</f>
        <v>81.74000000000008</v>
      </c>
      <c r="M27" s="42">
        <v>43.619999999999962</v>
      </c>
      <c r="N27" s="42">
        <v>63.959999999999987</v>
      </c>
      <c r="O27" s="42">
        <f>SUM(O17:O26)</f>
        <v>59.57999999999997</v>
      </c>
      <c r="P27" s="42">
        <f>SUM(P17:P26)</f>
        <v>60.319999999999922</v>
      </c>
      <c r="Q27" s="42">
        <f>SUM(Q17:Q26)</f>
        <v>41.280000000000015</v>
      </c>
      <c r="R27" s="19">
        <f>SUM(R17:R26)</f>
        <v>34.639999999999986</v>
      </c>
      <c r="S27" s="19">
        <v>61.999999999999915</v>
      </c>
      <c r="T27" s="19">
        <f>SUM(T17:T26)</f>
        <v>50.900000000000034</v>
      </c>
      <c r="U27" s="19">
        <f>SUM(U17:U26)</f>
        <v>33.020000000000046</v>
      </c>
      <c r="V27" s="19">
        <f>SUM(V17:V26)</f>
        <v>18.201000000000008</v>
      </c>
      <c r="W27" s="19">
        <v>67.420000000000115</v>
      </c>
      <c r="X27" s="19">
        <f>SUM(X17:X26)</f>
        <v>56.660000000000004</v>
      </c>
      <c r="Y27" s="19">
        <f>SUM(Y17:Y26)</f>
        <v>42.445000000000029</v>
      </c>
      <c r="Z27" s="19">
        <f>SUM(Z17:Z26)</f>
        <v>23.300000000000036</v>
      </c>
    </row>
    <row r="28" spans="1:44" s="22" customFormat="1" x14ac:dyDescent="0.35">
      <c r="A28" s="16"/>
      <c r="B28" s="17"/>
      <c r="C28" s="101"/>
      <c r="D28" s="101"/>
      <c r="E28" s="88"/>
      <c r="F28" s="88"/>
      <c r="G28" s="88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17"/>
      <c r="S28" s="17"/>
      <c r="T28" s="17"/>
      <c r="U28" s="17"/>
      <c r="V28" s="17"/>
      <c r="W28" s="17"/>
      <c r="X28" s="17"/>
      <c r="Y28" s="17"/>
      <c r="Z28" s="17"/>
    </row>
    <row r="29" spans="1:44" x14ac:dyDescent="0.35">
      <c r="A29" s="20" t="s">
        <v>21</v>
      </c>
      <c r="B29" s="17"/>
      <c r="C29" s="101"/>
      <c r="D29" s="101"/>
      <c r="E29" s="85"/>
      <c r="F29" s="85"/>
      <c r="G29" s="85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6"/>
      <c r="S29" s="6"/>
      <c r="T29" s="6"/>
      <c r="U29" s="6"/>
      <c r="V29" s="6"/>
      <c r="W29" s="6"/>
      <c r="X29" s="6"/>
      <c r="Y29" s="6"/>
      <c r="Z29" s="6"/>
    </row>
    <row r="30" spans="1:44" x14ac:dyDescent="0.35">
      <c r="A30" s="10" t="s">
        <v>24</v>
      </c>
      <c r="B30" s="113">
        <f>'Income Statement-3M'!B30</f>
        <v>1.25</v>
      </c>
      <c r="C30" s="114">
        <v>4.57</v>
      </c>
      <c r="D30" s="112">
        <v>3.7039565964241774</v>
      </c>
      <c r="E30" s="104">
        <v>3.0092106601324864</v>
      </c>
      <c r="F30" s="104">
        <v>1.555975641089546</v>
      </c>
      <c r="G30" s="104">
        <v>5.6209084974801025</v>
      </c>
      <c r="H30" s="104">
        <v>4.3001399522924428</v>
      </c>
      <c r="I30" s="104">
        <v>3.1532109365605971</v>
      </c>
      <c r="J30" s="104">
        <v>1.3252022106348662</v>
      </c>
      <c r="K30" s="104">
        <v>2.0787286142326895</v>
      </c>
      <c r="L30" s="104">
        <v>1.8481403587197784</v>
      </c>
      <c r="M30" s="104">
        <v>1.0317981817382744</v>
      </c>
      <c r="N30" s="104">
        <v>0.9988301775827243</v>
      </c>
      <c r="O30" s="104">
        <v>2.1109478142007725</v>
      </c>
      <c r="P30" s="104">
        <v>1.8890306077734138</v>
      </c>
      <c r="Q30" s="104">
        <v>1.3</v>
      </c>
      <c r="R30" s="104">
        <v>0.76030177040954205</v>
      </c>
      <c r="S30" s="104">
        <v>1.5413683795583524</v>
      </c>
      <c r="T30" s="104">
        <v>1.2452120103234636</v>
      </c>
      <c r="U30" s="104">
        <v>0.74758338229788801</v>
      </c>
      <c r="V30" s="104">
        <v>0.32733114666309659</v>
      </c>
      <c r="W30" s="104">
        <v>1.8433333333333335</v>
      </c>
      <c r="X30" s="104">
        <v>1.62</v>
      </c>
      <c r="Y30" s="104">
        <v>1.1833333333333333</v>
      </c>
      <c r="Z30" s="104">
        <v>0.70403345827763297</v>
      </c>
      <c r="AA30" s="104"/>
      <c r="AB30" s="104"/>
      <c r="AC30" s="104"/>
      <c r="AD30" s="104"/>
      <c r="AE30" s="104"/>
      <c r="AF30" s="104"/>
      <c r="AG30" s="104"/>
      <c r="AH30" s="103"/>
      <c r="AI30" s="103"/>
      <c r="AJ30" s="103"/>
      <c r="AK30" s="103"/>
      <c r="AL30" s="104"/>
      <c r="AM30" s="105"/>
      <c r="AN30" s="104"/>
      <c r="AO30" s="106"/>
      <c r="AP30" s="106"/>
      <c r="AQ30" s="105"/>
      <c r="AR30" s="104"/>
    </row>
    <row r="31" spans="1:44" x14ac:dyDescent="0.35">
      <c r="A31" s="77" t="s">
        <v>23</v>
      </c>
      <c r="B31" s="41">
        <f>'Income Statement-3M'!B31</f>
        <v>42.3</v>
      </c>
      <c r="C31" s="41">
        <v>42.3</v>
      </c>
      <c r="D31" s="102">
        <v>42.3</v>
      </c>
      <c r="E31" s="94">
        <f>+'Resultat-3M'!E31</f>
        <v>42.3</v>
      </c>
      <c r="F31" s="94">
        <f>+'Resultat-3M'!F31</f>
        <v>42.3</v>
      </c>
      <c r="G31" s="94">
        <f>+'Resultat-3M'!G31</f>
        <v>42.3</v>
      </c>
      <c r="H31" s="95">
        <f>+'Resultat-3M'!H31</f>
        <v>42.3</v>
      </c>
      <c r="I31" s="95">
        <f>+'Resultat-3M'!I31</f>
        <v>42.3</v>
      </c>
      <c r="J31" s="95">
        <f>+'Resultat-3M'!J31</f>
        <v>41.9</v>
      </c>
      <c r="K31" s="95">
        <f>+'Resultat-3M'!K31</f>
        <v>41.7</v>
      </c>
      <c r="L31" s="95">
        <f>+'Resultat-3M'!L31</f>
        <v>41.7</v>
      </c>
      <c r="M31" s="95">
        <f>+'Resultat-3M'!M31</f>
        <v>41.7</v>
      </c>
      <c r="N31" s="95">
        <f>+'Resultat-3M'!N31</f>
        <v>41.7</v>
      </c>
      <c r="O31" s="95">
        <f>+'Resultat-3M'!O31</f>
        <v>41.7</v>
      </c>
      <c r="P31" s="95">
        <f>+'Resultat-3M'!P31</f>
        <v>41.7</v>
      </c>
      <c r="Q31" s="95">
        <f>+'Resultat-3M'!Q31</f>
        <v>41.2</v>
      </c>
      <c r="R31" s="95">
        <f>+'Resultat-3M'!R31</f>
        <v>40.299999999999997</v>
      </c>
      <c r="S31" s="95">
        <f>+'Resultat-3M'!S31</f>
        <v>40.299999999999997</v>
      </c>
      <c r="T31" s="95">
        <f>+'Resultat-3M'!T31</f>
        <v>40.299999999999997</v>
      </c>
      <c r="U31" s="95">
        <f>+'Resultat-3M'!U31</f>
        <v>40.299999999999997</v>
      </c>
      <c r="V31" s="95">
        <f>+'Resultat-3M'!V31</f>
        <v>40.299999999999997</v>
      </c>
      <c r="W31" s="95">
        <f>+'Resultat-3M'!W31</f>
        <v>40.299999999999997</v>
      </c>
      <c r="X31" s="95">
        <f>+'Resultat-3M'!X31</f>
        <v>40.299999999999997</v>
      </c>
      <c r="Y31" s="95">
        <f>+'Resultat-3M'!Y31</f>
        <v>39.6</v>
      </c>
      <c r="Z31" s="95">
        <f>+'Resultat-3M'!Z31</f>
        <v>34.299999999999997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 tint="0.499984740745262"/>
  </sheetPr>
  <dimension ref="A1:AB31"/>
  <sheetViews>
    <sheetView showGridLines="0" workbookViewId="0">
      <pane xSplit="1" ySplit="2" topLeftCell="B12" activePane="bottomRight" state="frozen"/>
      <selection activeCell="W1" sqref="W1:X1048576"/>
      <selection pane="topRight" activeCell="W1" sqref="W1:X1048576"/>
      <selection pane="bottomLeft" activeCell="W1" sqref="W1:X1048576"/>
      <selection pane="bottomRight" activeCell="B27" sqref="B27"/>
    </sheetView>
  </sheetViews>
  <sheetFormatPr defaultColWidth="9.1796875" defaultRowHeight="14.5" x14ac:dyDescent="0.35"/>
  <cols>
    <col min="1" max="1" width="67" style="2" customWidth="1"/>
    <col min="2" max="2" width="11.453125" style="2" customWidth="1"/>
    <col min="3" max="4" width="9.1796875" style="2" customWidth="1"/>
    <col min="5" max="17" width="9.1796875" style="45"/>
    <col min="18" max="16384" width="9.1796875" style="2"/>
  </cols>
  <sheetData>
    <row r="1" spans="1:28" ht="23.5" x14ac:dyDescent="0.55000000000000004">
      <c r="A1" s="33" t="s">
        <v>134</v>
      </c>
      <c r="B1" s="33"/>
      <c r="C1" s="33"/>
      <c r="D1" s="33"/>
    </row>
    <row r="2" spans="1:28" s="22" customFormat="1" ht="29" x14ac:dyDescent="0.35">
      <c r="A2" s="14" t="s">
        <v>0</v>
      </c>
      <c r="B2" s="40" t="s">
        <v>237</v>
      </c>
      <c r="C2" s="109" t="s">
        <v>233</v>
      </c>
      <c r="D2" s="40" t="s">
        <v>229</v>
      </c>
      <c r="E2" s="40" t="s">
        <v>223</v>
      </c>
      <c r="F2" s="40" t="s">
        <v>221</v>
      </c>
      <c r="G2" s="46" t="s">
        <v>207</v>
      </c>
      <c r="H2" s="46" t="s">
        <v>205</v>
      </c>
      <c r="I2" s="46" t="s">
        <v>200</v>
      </c>
      <c r="J2" s="46" t="s">
        <v>193</v>
      </c>
      <c r="K2" s="46" t="s">
        <v>190</v>
      </c>
      <c r="L2" s="46" t="s">
        <v>186</v>
      </c>
      <c r="M2" s="46" t="s">
        <v>181</v>
      </c>
      <c r="N2" s="46" t="s">
        <v>142</v>
      </c>
      <c r="O2" s="46" t="s">
        <v>164</v>
      </c>
      <c r="P2" s="46" t="s">
        <v>161</v>
      </c>
      <c r="Q2" s="46" t="s">
        <v>158</v>
      </c>
      <c r="R2" s="35" t="s">
        <v>146</v>
      </c>
      <c r="S2" s="35" t="s">
        <v>165</v>
      </c>
      <c r="T2" s="35" t="s">
        <v>162</v>
      </c>
      <c r="U2" s="35" t="s">
        <v>159</v>
      </c>
      <c r="V2" s="35" t="s">
        <v>144</v>
      </c>
      <c r="W2" s="35" t="s">
        <v>166</v>
      </c>
      <c r="X2" s="35" t="s">
        <v>163</v>
      </c>
      <c r="Y2" s="35" t="s">
        <v>160</v>
      </c>
      <c r="Z2" s="35" t="s">
        <v>145</v>
      </c>
    </row>
    <row r="3" spans="1:28" x14ac:dyDescent="0.35">
      <c r="A3" s="29" t="s">
        <v>75</v>
      </c>
      <c r="B3" s="6">
        <f>'Resultat-YTD'!B3</f>
        <v>533.20000000000005</v>
      </c>
      <c r="C3" s="111">
        <f>+'Resultat-YTD'!C3</f>
        <v>1925.6</v>
      </c>
      <c r="D3" s="85">
        <f>+'Resultat-YTD'!D3</f>
        <v>1465.7</v>
      </c>
      <c r="E3" s="85">
        <f>+'Resultat-YTD'!E3</f>
        <v>1043</v>
      </c>
      <c r="F3" s="85">
        <f>+'Resultat-YTD'!F3</f>
        <v>496.6</v>
      </c>
      <c r="G3" s="85">
        <v>1824.8</v>
      </c>
      <c r="H3" s="41">
        <v>1335.4</v>
      </c>
      <c r="I3" s="41">
        <v>919.7</v>
      </c>
      <c r="J3" s="41">
        <v>428.05700000000002</v>
      </c>
      <c r="K3" s="41">
        <f>1536.79+0.04</f>
        <v>1536.83</v>
      </c>
      <c r="L3" s="41">
        <v>1140.2</v>
      </c>
      <c r="M3" s="41">
        <v>784.8</v>
      </c>
      <c r="N3" s="41">
        <v>419.9</v>
      </c>
      <c r="O3" s="41">
        <v>1313.5</v>
      </c>
      <c r="P3" s="41">
        <v>969.4</v>
      </c>
      <c r="Q3" s="41">
        <v>647.5</v>
      </c>
      <c r="R3" s="6">
        <v>299.26</v>
      </c>
      <c r="S3" s="6">
        <v>1138.0999999999999</v>
      </c>
      <c r="T3" s="6">
        <v>859</v>
      </c>
      <c r="U3" s="6">
        <v>593.6</v>
      </c>
      <c r="V3" s="6">
        <v>280.05</v>
      </c>
      <c r="W3" s="6">
        <v>1125.8600000000001</v>
      </c>
      <c r="X3" s="6">
        <v>851</v>
      </c>
      <c r="Y3" s="6">
        <v>594.20000000000005</v>
      </c>
      <c r="Z3" s="6">
        <v>291.54000000000002</v>
      </c>
    </row>
    <row r="4" spans="1:28" x14ac:dyDescent="0.35">
      <c r="A4" s="29" t="s">
        <v>76</v>
      </c>
      <c r="B4" s="70">
        <f>'Resultat-YTD'!B4</f>
        <v>-332.5</v>
      </c>
      <c r="C4" s="87">
        <f>+'Resultat-YTD'!C4</f>
        <v>-1214.8</v>
      </c>
      <c r="D4" s="85">
        <f>+'Resultat-YTD'!D4</f>
        <v>-925</v>
      </c>
      <c r="E4" s="85">
        <f>+'Resultat-YTD'!E4</f>
        <v>-649.29999999999995</v>
      </c>
      <c r="F4" s="85">
        <f>+'Resultat-YTD'!F4</f>
        <v>-304.2</v>
      </c>
      <c r="G4" s="85">
        <v>-1121.4000000000001</v>
      </c>
      <c r="H4" s="41">
        <v>-814</v>
      </c>
      <c r="I4" s="41">
        <v>-551.9</v>
      </c>
      <c r="J4" s="41">
        <v>-255.773</v>
      </c>
      <c r="K4" s="41">
        <v>-984.1</v>
      </c>
      <c r="L4" s="41">
        <v>-735.5</v>
      </c>
      <c r="M4" s="41">
        <v>-506.4</v>
      </c>
      <c r="N4" s="41">
        <v>-263.7</v>
      </c>
      <c r="O4" s="41">
        <v>-865.6</v>
      </c>
      <c r="P4" s="41">
        <v>-623.6</v>
      </c>
      <c r="Q4" s="41">
        <v>-408.3</v>
      </c>
      <c r="R4" s="6">
        <v>-183.24</v>
      </c>
      <c r="S4" s="6">
        <v>-759.8</v>
      </c>
      <c r="T4" s="6">
        <v>-573.9</v>
      </c>
      <c r="U4" s="6">
        <v>-395.9</v>
      </c>
      <c r="V4" s="6">
        <v>-185.666</v>
      </c>
      <c r="W4" s="6">
        <v>-738.24</v>
      </c>
      <c r="X4" s="6">
        <v>-553.5</v>
      </c>
      <c r="Y4" s="6">
        <v>-382.8</v>
      </c>
      <c r="Z4" s="6">
        <v>-183.16</v>
      </c>
    </row>
    <row r="5" spans="1:28" s="22" customFormat="1" x14ac:dyDescent="0.35">
      <c r="A5" s="30" t="s">
        <v>77</v>
      </c>
      <c r="B5" s="96">
        <f>'Resultat-YTD'!B5</f>
        <v>200.7</v>
      </c>
      <c r="C5" s="110">
        <f>+'Resultat-YTD'!C5</f>
        <v>710.8</v>
      </c>
      <c r="D5" s="86">
        <f>+'Resultat-YTD'!D5</f>
        <v>540.70000000000005</v>
      </c>
      <c r="E5" s="86">
        <f>+'Resultat-YTD'!E5</f>
        <v>393.70000000000005</v>
      </c>
      <c r="F5" s="86">
        <f>+'Resultat-YTD'!F5</f>
        <v>192.4</v>
      </c>
      <c r="G5" s="86">
        <v>703.5</v>
      </c>
      <c r="H5" s="42">
        <f>SUM(H3:H4)</f>
        <v>521.40000000000009</v>
      </c>
      <c r="I5" s="42">
        <f>SUM(I3:I4)</f>
        <v>367.80000000000007</v>
      </c>
      <c r="J5" s="42">
        <f>SUM(J3:J4)</f>
        <v>172.28400000000002</v>
      </c>
      <c r="K5" s="42">
        <f>SUM(K3:K4)</f>
        <v>552.7299999999999</v>
      </c>
      <c r="L5" s="42">
        <v>404.70000000000005</v>
      </c>
      <c r="M5" s="42">
        <v>278.39999999999998</v>
      </c>
      <c r="N5" s="42">
        <v>156.19999999999999</v>
      </c>
      <c r="O5" s="42">
        <f>SUM(O3:O4)</f>
        <v>447.9</v>
      </c>
      <c r="P5" s="42">
        <f>SUM(P3:P4)</f>
        <v>345.79999999999995</v>
      </c>
      <c r="Q5" s="42">
        <f>SUM(Q3:Q4)</f>
        <v>239.2</v>
      </c>
      <c r="R5" s="19">
        <f>SUM(R3:R4)</f>
        <v>116.01999999999998</v>
      </c>
      <c r="S5" s="19">
        <v>378.29999999999995</v>
      </c>
      <c r="T5" s="19">
        <f>SUM(T3:T4)</f>
        <v>285.10000000000002</v>
      </c>
      <c r="U5" s="19">
        <f>SUM(U3:U4)</f>
        <v>197.70000000000005</v>
      </c>
      <c r="V5" s="19">
        <f>SUM(V3:V4)</f>
        <v>94.384000000000015</v>
      </c>
      <c r="W5" s="19">
        <v>387.62000000000012</v>
      </c>
      <c r="X5" s="19">
        <f>SUM(X3:X4)</f>
        <v>297.5</v>
      </c>
      <c r="Y5" s="19">
        <f>SUM(Y3:Y4)</f>
        <v>211.40000000000003</v>
      </c>
      <c r="Z5" s="19">
        <f>SUM(Z3:Z4)</f>
        <v>108.38000000000002</v>
      </c>
    </row>
    <row r="6" spans="1:28" x14ac:dyDescent="0.35">
      <c r="A6" s="29"/>
      <c r="B6" s="6"/>
      <c r="C6" s="110"/>
      <c r="D6" s="85"/>
      <c r="E6" s="85"/>
      <c r="F6" s="85"/>
      <c r="G6" s="85"/>
      <c r="H6" s="41"/>
      <c r="I6" s="41"/>
      <c r="J6" s="41"/>
      <c r="K6" s="41"/>
      <c r="L6" s="41"/>
      <c r="M6" s="41"/>
      <c r="N6" s="41"/>
      <c r="O6" s="41"/>
      <c r="P6" s="41"/>
      <c r="Q6" s="41"/>
      <c r="R6" s="6"/>
      <c r="S6" s="6"/>
      <c r="T6" s="6"/>
      <c r="U6" s="6"/>
      <c r="V6" s="6"/>
      <c r="W6" s="6"/>
      <c r="X6" s="6"/>
      <c r="Y6" s="6"/>
      <c r="Z6" s="6"/>
    </row>
    <row r="7" spans="1:28" x14ac:dyDescent="0.35">
      <c r="A7" s="29" t="s">
        <v>198</v>
      </c>
      <c r="B7" s="6">
        <f>'Resultat-YTD'!B7</f>
        <v>-124.1</v>
      </c>
      <c r="C7" s="85">
        <f>+'Resultat-YTD'!C7</f>
        <v>-436.7</v>
      </c>
      <c r="D7" s="85">
        <f>+'Resultat-YTD'!D7</f>
        <v>-309.5</v>
      </c>
      <c r="E7" s="85">
        <f>+'Resultat-YTD'!E7</f>
        <v>-210.79999999999998</v>
      </c>
      <c r="F7" s="85">
        <f>+'Resultat-YTD'!F7</f>
        <v>-100.7</v>
      </c>
      <c r="G7" s="85">
        <v>-367.5</v>
      </c>
      <c r="H7" s="41">
        <f>-192.2-72.94</f>
        <v>-265.14</v>
      </c>
      <c r="I7" s="41">
        <v>-186.6</v>
      </c>
      <c r="J7" s="41">
        <v>-93.703999999999994</v>
      </c>
      <c r="K7" s="41">
        <f>-359.2+10.952</f>
        <v>-348.24799999999999</v>
      </c>
      <c r="L7" s="41">
        <f>-269.66+8.262</f>
        <v>-261.39800000000002</v>
      </c>
      <c r="M7" s="41">
        <f>-186.7+5.508</f>
        <v>-181.19199999999998</v>
      </c>
      <c r="N7" s="41">
        <f>-97.86+2.754</f>
        <v>-95.105999999999995</v>
      </c>
      <c r="O7" s="41">
        <f>-251.5-84.84+7.365</f>
        <v>-328.97500000000002</v>
      </c>
      <c r="P7" s="41">
        <f>-176.3-69.04+4.59</f>
        <v>-240.75000000000003</v>
      </c>
      <c r="Q7" s="41">
        <f>-121.7-47.8+1.836</f>
        <v>-167.66399999999999</v>
      </c>
      <c r="R7" s="6">
        <v>-77.2</v>
      </c>
      <c r="S7" s="6">
        <v>-307.70000000000005</v>
      </c>
      <c r="T7" s="6">
        <f>-169.5-58</f>
        <v>-227.5</v>
      </c>
      <c r="U7" s="6">
        <f>-119.5-43.6</f>
        <v>-163.1</v>
      </c>
      <c r="V7" s="6">
        <f>-78.98</f>
        <v>-78.98</v>
      </c>
      <c r="W7" s="6">
        <v>-298.76</v>
      </c>
      <c r="X7" s="6">
        <f>-155.5-64.7</f>
        <v>-220.2</v>
      </c>
      <c r="Y7" s="6">
        <f>-109.5-45</f>
        <v>-154.5</v>
      </c>
      <c r="Z7" s="6">
        <f>-53.3-22.9</f>
        <v>-76.199999999999989</v>
      </c>
    </row>
    <row r="8" spans="1:28" x14ac:dyDescent="0.35">
      <c r="A8" s="68" t="s">
        <v>78</v>
      </c>
      <c r="B8" s="70">
        <f>'Resultat-YTD'!B8</f>
        <v>1.9</v>
      </c>
      <c r="C8" s="87">
        <f>+'Resultat-YTD'!C8</f>
        <v>7.1</v>
      </c>
      <c r="D8" s="87">
        <f>+'Resultat-YTD'!D8</f>
        <v>3.5</v>
      </c>
      <c r="E8" s="87">
        <f>+'Resultat-YTD'!E8</f>
        <v>2.1</v>
      </c>
      <c r="F8" s="87">
        <f>+'Resultat-YTD'!F8</f>
        <v>2.6</v>
      </c>
      <c r="G8" s="87">
        <v>2.9</v>
      </c>
      <c r="H8" s="69">
        <v>0.46</v>
      </c>
      <c r="I8" s="69">
        <v>4.66</v>
      </c>
      <c r="J8" s="69">
        <v>2.2269999999999999</v>
      </c>
      <c r="K8" s="69">
        <v>4</v>
      </c>
      <c r="L8" s="69">
        <v>1.94</v>
      </c>
      <c r="M8" s="69">
        <v>-0.44</v>
      </c>
      <c r="N8" s="69">
        <v>-2.06</v>
      </c>
      <c r="O8" s="69">
        <v>5.66</v>
      </c>
      <c r="P8" s="69">
        <v>2.6</v>
      </c>
      <c r="Q8" s="69">
        <v>1.9</v>
      </c>
      <c r="R8" s="70">
        <v>0.7</v>
      </c>
      <c r="S8" s="70">
        <v>10.7</v>
      </c>
      <c r="T8" s="70">
        <v>7.9</v>
      </c>
      <c r="U8" s="70">
        <v>4.16</v>
      </c>
      <c r="V8" s="70">
        <v>1.41</v>
      </c>
      <c r="W8" s="70">
        <v>4.3</v>
      </c>
      <c r="X8" s="70">
        <v>2.74</v>
      </c>
      <c r="Y8" s="70">
        <v>1.3</v>
      </c>
      <c r="Z8" s="70">
        <v>-0.2</v>
      </c>
    </row>
    <row r="9" spans="1:28" s="75" customFormat="1" x14ac:dyDescent="0.35">
      <c r="A9" s="79" t="s">
        <v>195</v>
      </c>
      <c r="B9" s="80">
        <f>'Resultat-YTD'!B9</f>
        <v>78.5</v>
      </c>
      <c r="C9" s="110">
        <f>+'Resultat-YTD'!C9</f>
        <v>281.2</v>
      </c>
      <c r="D9" s="88">
        <f>+'Resultat-YTD'!D9</f>
        <v>234.6</v>
      </c>
      <c r="E9" s="88">
        <f>+'Resultat-YTD'!E9</f>
        <v>185.00000000000006</v>
      </c>
      <c r="F9" s="88">
        <f>+'Resultat-YTD'!F9</f>
        <v>94.3</v>
      </c>
      <c r="G9" s="88">
        <v>338.9</v>
      </c>
      <c r="H9" s="43">
        <f t="shared" ref="H9" si="0">H5+H7+H8</f>
        <v>256.72000000000008</v>
      </c>
      <c r="I9" s="80">
        <f t="shared" ref="I9:Z9" si="1">I5+I7+I8</f>
        <v>185.86000000000007</v>
      </c>
      <c r="J9" s="80">
        <f t="shared" si="1"/>
        <v>80.807000000000031</v>
      </c>
      <c r="K9" s="80">
        <f t="shared" si="1"/>
        <v>208.48199999999991</v>
      </c>
      <c r="L9" s="80">
        <f t="shared" si="1"/>
        <v>145.24200000000002</v>
      </c>
      <c r="M9" s="80">
        <f t="shared" si="1"/>
        <v>96.768000000000001</v>
      </c>
      <c r="N9" s="80">
        <f t="shared" si="1"/>
        <v>59.033999999999992</v>
      </c>
      <c r="O9" s="80">
        <f t="shared" si="1"/>
        <v>124.58499999999995</v>
      </c>
      <c r="P9" s="80">
        <f t="shared" si="1"/>
        <v>107.64999999999992</v>
      </c>
      <c r="Q9" s="80">
        <f t="shared" si="1"/>
        <v>73.436000000000007</v>
      </c>
      <c r="R9" s="80">
        <f t="shared" si="1"/>
        <v>39.519999999999982</v>
      </c>
      <c r="S9" s="80">
        <f t="shared" si="1"/>
        <v>81.299999999999912</v>
      </c>
      <c r="T9" s="80">
        <f t="shared" si="1"/>
        <v>65.500000000000028</v>
      </c>
      <c r="U9" s="80">
        <f t="shared" si="1"/>
        <v>38.760000000000048</v>
      </c>
      <c r="V9" s="80">
        <f t="shared" si="1"/>
        <v>16.814000000000011</v>
      </c>
      <c r="W9" s="80">
        <f t="shared" si="1"/>
        <v>93.160000000000124</v>
      </c>
      <c r="X9" s="80">
        <f t="shared" si="1"/>
        <v>80.040000000000006</v>
      </c>
      <c r="Y9" s="80">
        <f t="shared" si="1"/>
        <v>58.200000000000031</v>
      </c>
      <c r="Z9" s="80">
        <f t="shared" si="1"/>
        <v>31.980000000000036</v>
      </c>
    </row>
    <row r="10" spans="1:28" x14ac:dyDescent="0.35">
      <c r="A10" s="60"/>
      <c r="B10" s="120"/>
      <c r="C10" s="88"/>
      <c r="D10" s="85"/>
      <c r="E10" s="85"/>
      <c r="F10" s="85"/>
      <c r="G10" s="85"/>
      <c r="H10" s="41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</row>
    <row r="11" spans="1:28" x14ac:dyDescent="0.35">
      <c r="A11" s="77" t="s">
        <v>197</v>
      </c>
      <c r="B11" s="69">
        <f>'Resultat-YTD'!B11</f>
        <v>-6.3</v>
      </c>
      <c r="C11" s="87">
        <f>+'Resultat-YTD'!C11</f>
        <v>-23.9</v>
      </c>
      <c r="D11" s="85">
        <f>+'Resultat-YTD'!D11</f>
        <v>-17.7</v>
      </c>
      <c r="E11" s="85">
        <f>+'Resultat-YTD'!E11</f>
        <v>-11.8</v>
      </c>
      <c r="F11" s="85">
        <f>+'Resultat-YTD'!F11</f>
        <v>-5.9</v>
      </c>
      <c r="G11" s="85">
        <v>-20.6</v>
      </c>
      <c r="H11" s="41">
        <v>-14.9</v>
      </c>
      <c r="I11" s="41">
        <v>-9.24</v>
      </c>
      <c r="J11" s="41">
        <v>-3.665</v>
      </c>
      <c r="K11" s="41">
        <v>-10.952</v>
      </c>
      <c r="L11" s="41">
        <v>-8.2620000000000005</v>
      </c>
      <c r="M11" s="41">
        <v>-5.508</v>
      </c>
      <c r="N11" s="41">
        <v>-2.754</v>
      </c>
      <c r="O11" s="41">
        <v>-7.3650000000000002</v>
      </c>
      <c r="P11" s="41">
        <v>-4.59</v>
      </c>
      <c r="Q11" s="41">
        <v>-1.8360000000000001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</row>
    <row r="12" spans="1:28" s="22" customFormat="1" x14ac:dyDescent="0.35">
      <c r="A12" s="78" t="s">
        <v>79</v>
      </c>
      <c r="B12" s="80">
        <f>'Resultat-YTD'!B12</f>
        <v>72.2</v>
      </c>
      <c r="C12" s="88">
        <f>+'Resultat-YTD'!C12</f>
        <v>257.3</v>
      </c>
      <c r="D12" s="86">
        <f>+'Resultat-YTD'!D12</f>
        <v>216.9</v>
      </c>
      <c r="E12" s="86">
        <f>+'Resultat-YTD'!E12</f>
        <v>173.20000000000005</v>
      </c>
      <c r="F12" s="86">
        <f>+'Resultat-YTD'!F12</f>
        <v>88.3</v>
      </c>
      <c r="G12" s="86">
        <v>318.3</v>
      </c>
      <c r="H12" s="42">
        <f>H9+H11</f>
        <v>241.82000000000008</v>
      </c>
      <c r="I12" s="42">
        <f>I9+I11</f>
        <v>176.62000000000006</v>
      </c>
      <c r="J12" s="42">
        <f>J9+J11</f>
        <v>77.142000000000024</v>
      </c>
      <c r="K12" s="42">
        <f t="shared" ref="K12:Z12" si="2">K9+K11</f>
        <v>197.52999999999992</v>
      </c>
      <c r="L12" s="42">
        <f t="shared" si="2"/>
        <v>136.98000000000002</v>
      </c>
      <c r="M12" s="42">
        <f t="shared" si="2"/>
        <v>91.26</v>
      </c>
      <c r="N12" s="42">
        <f t="shared" si="2"/>
        <v>56.279999999999994</v>
      </c>
      <c r="O12" s="42">
        <f t="shared" si="2"/>
        <v>117.21999999999996</v>
      </c>
      <c r="P12" s="42">
        <f t="shared" si="2"/>
        <v>103.05999999999992</v>
      </c>
      <c r="Q12" s="42">
        <f t="shared" si="2"/>
        <v>71.600000000000009</v>
      </c>
      <c r="R12" s="42">
        <f t="shared" si="2"/>
        <v>39.519999999999982</v>
      </c>
      <c r="S12" s="42">
        <f t="shared" si="2"/>
        <v>81.299999999999912</v>
      </c>
      <c r="T12" s="42">
        <f t="shared" si="2"/>
        <v>65.500000000000028</v>
      </c>
      <c r="U12" s="42">
        <f t="shared" si="2"/>
        <v>38.760000000000048</v>
      </c>
      <c r="V12" s="42">
        <f t="shared" si="2"/>
        <v>16.814000000000011</v>
      </c>
      <c r="W12" s="42">
        <f t="shared" si="2"/>
        <v>93.160000000000124</v>
      </c>
      <c r="X12" s="42">
        <f t="shared" si="2"/>
        <v>80.040000000000006</v>
      </c>
      <c r="Y12" s="42">
        <f t="shared" si="2"/>
        <v>58.200000000000031</v>
      </c>
      <c r="Z12" s="42">
        <f t="shared" si="2"/>
        <v>31.980000000000036</v>
      </c>
    </row>
    <row r="13" spans="1:28" x14ac:dyDescent="0.35">
      <c r="A13" s="68" t="s">
        <v>80</v>
      </c>
      <c r="B13" s="70">
        <f>'Resultat-YTD'!B13</f>
        <v>-3.8</v>
      </c>
      <c r="C13" s="87">
        <f>+'Resultat-YTD'!C13</f>
        <v>-5.7</v>
      </c>
      <c r="D13" s="85">
        <f>+'Resultat-YTD'!D13</f>
        <v>-11</v>
      </c>
      <c r="E13" s="85">
        <f>+'Resultat-YTD'!E13</f>
        <v>-6</v>
      </c>
      <c r="F13" s="85">
        <f>+'Resultat-YTD'!F13</f>
        <v>-2.2999999999999998</v>
      </c>
      <c r="G13" s="85">
        <v>-10.4</v>
      </c>
      <c r="H13" s="41">
        <v>-7.1</v>
      </c>
      <c r="I13" s="41">
        <v>-4.8600000000000003</v>
      </c>
      <c r="J13" s="41">
        <v>-4.66</v>
      </c>
      <c r="K13" s="41">
        <f>-65.406+0.04</f>
        <v>-65.366</v>
      </c>
      <c r="L13" s="41">
        <v>-29.9</v>
      </c>
      <c r="M13" s="41">
        <v>-28.14</v>
      </c>
      <c r="N13" s="41">
        <v>-2.8</v>
      </c>
      <c r="O13" s="41">
        <v>-2.74</v>
      </c>
      <c r="P13" s="41">
        <v>-1.84</v>
      </c>
      <c r="Q13" s="41">
        <f>-1.4+0.04</f>
        <v>-1.3599999999999999</v>
      </c>
      <c r="R13" s="6">
        <v>-0.4</v>
      </c>
      <c r="S13" s="6">
        <v>-2.5</v>
      </c>
      <c r="T13" s="6">
        <v>-1.3</v>
      </c>
      <c r="U13" s="6">
        <v>0.26</v>
      </c>
      <c r="V13" s="6">
        <v>0.4</v>
      </c>
      <c r="W13" s="6">
        <v>-4.04</v>
      </c>
      <c r="X13" s="6">
        <v>-3.76</v>
      </c>
      <c r="Y13" s="6">
        <v>-2.2999999999999998</v>
      </c>
      <c r="Z13" s="6">
        <v>-1.3</v>
      </c>
    </row>
    <row r="14" spans="1:28" s="22" customFormat="1" x14ac:dyDescent="0.35">
      <c r="A14" s="59" t="s">
        <v>81</v>
      </c>
      <c r="B14" s="96">
        <f>'Resultat-YTD'!B14</f>
        <v>68.400000000000006</v>
      </c>
      <c r="C14" s="88">
        <f>+'Resultat-YTD'!C14</f>
        <v>251.6</v>
      </c>
      <c r="D14" s="86">
        <f>+'Resultat-YTD'!D14</f>
        <v>205.9</v>
      </c>
      <c r="E14" s="86">
        <f>+'Resultat-YTD'!E14</f>
        <v>167.20000000000005</v>
      </c>
      <c r="F14" s="86">
        <f>+'Resultat-YTD'!F14</f>
        <v>86.1</v>
      </c>
      <c r="G14" s="86">
        <v>307.89999999999998</v>
      </c>
      <c r="H14" s="42">
        <f>SUM(H12:H13)</f>
        <v>234.72000000000008</v>
      </c>
      <c r="I14" s="42">
        <f>SUM(I12:I13)</f>
        <v>171.76000000000005</v>
      </c>
      <c r="J14" s="42">
        <f>SUM(J12:J13)</f>
        <v>72.482000000000028</v>
      </c>
      <c r="K14" s="42">
        <f>SUM(K12:K13)</f>
        <v>132.16399999999993</v>
      </c>
      <c r="L14" s="42">
        <v>107.08000000000007</v>
      </c>
      <c r="M14" s="42">
        <v>63.119999999999962</v>
      </c>
      <c r="N14" s="42">
        <v>53.47999999999999</v>
      </c>
      <c r="O14" s="42">
        <f>SUM(O12:O13)</f>
        <v>114.47999999999996</v>
      </c>
      <c r="P14" s="42">
        <f>SUM(P12:P13)</f>
        <v>101.21999999999991</v>
      </c>
      <c r="Q14" s="42">
        <f>SUM(Q12:Q13)</f>
        <v>70.240000000000009</v>
      </c>
      <c r="R14" s="19">
        <f>SUM(R12:R13)</f>
        <v>39.119999999999983</v>
      </c>
      <c r="S14" s="19">
        <v>78.799999999999912</v>
      </c>
      <c r="T14" s="19">
        <f>SUM(T12:T13)</f>
        <v>64.200000000000031</v>
      </c>
      <c r="U14" s="19">
        <f>SUM(U12:U13)</f>
        <v>39.020000000000046</v>
      </c>
      <c r="V14" s="19">
        <f>SUM(V12:V13)</f>
        <v>17.214000000000009</v>
      </c>
      <c r="W14" s="19">
        <v>89.120000000000118</v>
      </c>
      <c r="X14" s="19">
        <f t="shared" ref="X14:Z14" si="3">SUM(X12:X13)</f>
        <v>76.28</v>
      </c>
      <c r="Y14" s="19">
        <f t="shared" si="3"/>
        <v>55.900000000000034</v>
      </c>
      <c r="Z14" s="19">
        <f t="shared" si="3"/>
        <v>30.680000000000035</v>
      </c>
    </row>
    <row r="15" spans="1:28" s="22" customFormat="1" x14ac:dyDescent="0.35">
      <c r="A15" s="31"/>
      <c r="B15" s="17"/>
      <c r="C15" s="110"/>
      <c r="D15" s="88"/>
      <c r="E15" s="88"/>
      <c r="F15" s="88"/>
      <c r="G15" s="88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17"/>
      <c r="S15" s="17"/>
      <c r="T15" s="17"/>
      <c r="U15" s="17"/>
      <c r="V15" s="17"/>
      <c r="W15" s="17"/>
      <c r="X15" s="17"/>
      <c r="Y15" s="17"/>
      <c r="Z15" s="17"/>
    </row>
    <row r="16" spans="1:28" x14ac:dyDescent="0.35">
      <c r="A16" s="29" t="s">
        <v>82</v>
      </c>
      <c r="B16" s="70">
        <f>'Resultat-YTD'!B16</f>
        <v>-15.4</v>
      </c>
      <c r="C16" s="87">
        <f>+'Resultat-YTD'!C16</f>
        <v>-58.1</v>
      </c>
      <c r="D16" s="85">
        <f>+'Resultat-YTD'!D16</f>
        <v>-49.2</v>
      </c>
      <c r="E16" s="85">
        <f>+'Resultat-YTD'!E16</f>
        <v>-39.9</v>
      </c>
      <c r="F16" s="85">
        <f>+'Resultat-YTD'!F16</f>
        <v>-20.2</v>
      </c>
      <c r="G16" s="85">
        <v>-70.7</v>
      </c>
      <c r="H16" s="41">
        <v>-53.3</v>
      </c>
      <c r="I16" s="41">
        <v>-39</v>
      </c>
      <c r="J16" s="41">
        <v>-16.962</v>
      </c>
      <c r="K16" s="41">
        <v>-45.564</v>
      </c>
      <c r="L16" s="41">
        <v>-30.1</v>
      </c>
      <c r="M16" s="41">
        <v>-20.100000000000001</v>
      </c>
      <c r="N16" s="41">
        <v>-11.9</v>
      </c>
      <c r="O16" s="41">
        <v>-27.44</v>
      </c>
      <c r="P16" s="41">
        <v>-23.6</v>
      </c>
      <c r="Q16" s="41">
        <f>-17.2+0.04</f>
        <v>-17.16</v>
      </c>
      <c r="R16" s="6">
        <v>-8.4</v>
      </c>
      <c r="S16" s="6">
        <v>-16.600000000000001</v>
      </c>
      <c r="T16" s="6">
        <v>-14</v>
      </c>
      <c r="U16" s="6">
        <v>-8.86</v>
      </c>
      <c r="V16" s="6">
        <v>-4</v>
      </c>
      <c r="W16" s="6">
        <v>-17.8</v>
      </c>
      <c r="X16" s="6">
        <v>-14.5</v>
      </c>
      <c r="Y16" s="6">
        <f>-10.9-1.2</f>
        <v>-12.1</v>
      </c>
      <c r="Z16" s="6">
        <v>-6.5</v>
      </c>
    </row>
    <row r="17" spans="1:27" s="22" customFormat="1" x14ac:dyDescent="0.35">
      <c r="A17" s="30" t="s">
        <v>83</v>
      </c>
      <c r="B17" s="96">
        <f>'Resultat-YTD'!B17</f>
        <v>52.9</v>
      </c>
      <c r="C17" s="88">
        <f>+'Resultat-YTD'!C17</f>
        <v>193.4</v>
      </c>
      <c r="D17" s="86">
        <f>+'Resultat-YTD'!D17</f>
        <v>156.69999999999999</v>
      </c>
      <c r="E17" s="86">
        <f>+'Resultat-YTD'!E17</f>
        <v>127.30000000000004</v>
      </c>
      <c r="F17" s="86">
        <f>+'Resultat-YTD'!F17</f>
        <v>65.8</v>
      </c>
      <c r="G17" s="86">
        <v>237.3</v>
      </c>
      <c r="H17" s="42">
        <f>SUM(H14:H16)</f>
        <v>181.42000000000007</v>
      </c>
      <c r="I17" s="42">
        <f>SUM(I14:I16)</f>
        <v>132.76000000000005</v>
      </c>
      <c r="J17" s="42">
        <f>SUM(J14:J16)</f>
        <v>55.520000000000024</v>
      </c>
      <c r="K17" s="42">
        <f>SUM(K14:K16)</f>
        <v>86.599999999999937</v>
      </c>
      <c r="L17" s="42">
        <v>76.980000000000075</v>
      </c>
      <c r="M17" s="42">
        <v>43.01999999999996</v>
      </c>
      <c r="N17" s="42">
        <v>41.579999999999991</v>
      </c>
      <c r="O17" s="42">
        <f>SUM(O14:O16)</f>
        <v>87.039999999999964</v>
      </c>
      <c r="P17" s="42">
        <f>SUM(P14:P16)</f>
        <v>77.619999999999919</v>
      </c>
      <c r="Q17" s="42">
        <f>SUM(Q14:Q16)</f>
        <v>53.080000000000013</v>
      </c>
      <c r="R17" s="19">
        <f>SUM(R14:R16)</f>
        <v>30.719999999999985</v>
      </c>
      <c r="S17" s="19">
        <v>62.19999999999991</v>
      </c>
      <c r="T17" s="19">
        <f>SUM(T14:T16)</f>
        <v>50.200000000000031</v>
      </c>
      <c r="U17" s="19">
        <f>SUM(U14:U16)</f>
        <v>30.160000000000046</v>
      </c>
      <c r="V17" s="19">
        <f>SUM(V14:V16)</f>
        <v>13.214000000000009</v>
      </c>
      <c r="W17" s="19">
        <v>71.320000000000121</v>
      </c>
      <c r="X17" s="19">
        <f>SUM(X14:X16)</f>
        <v>61.78</v>
      </c>
      <c r="Y17" s="19">
        <f>SUM(Y14:Y16)</f>
        <v>43.800000000000033</v>
      </c>
      <c r="Z17" s="19">
        <f>SUM(Z14:Z16)</f>
        <v>24.180000000000035</v>
      </c>
    </row>
    <row r="18" spans="1:27" x14ac:dyDescent="0.35">
      <c r="A18" s="31"/>
      <c r="B18" s="17"/>
      <c r="C18" s="110"/>
      <c r="D18" s="88"/>
      <c r="E18" s="88"/>
      <c r="F18" s="88"/>
      <c r="G18" s="88"/>
      <c r="H18" s="43"/>
      <c r="I18" s="43"/>
      <c r="J18" s="43"/>
      <c r="K18" s="43"/>
      <c r="L18" s="41"/>
      <c r="M18" s="41"/>
      <c r="N18" s="41"/>
      <c r="O18" s="41"/>
      <c r="P18" s="41"/>
      <c r="Q18" s="41"/>
      <c r="R18" s="6"/>
      <c r="S18" s="6"/>
      <c r="T18" s="6"/>
      <c r="U18" s="6"/>
      <c r="V18" s="6"/>
      <c r="W18" s="6"/>
      <c r="X18" s="6"/>
      <c r="Y18" s="6"/>
      <c r="Z18" s="6"/>
    </row>
    <row r="19" spans="1:27" x14ac:dyDescent="0.35">
      <c r="A19" s="31" t="s">
        <v>84</v>
      </c>
      <c r="B19" s="17"/>
      <c r="C19" s="88"/>
      <c r="D19" s="85"/>
      <c r="E19" s="85"/>
      <c r="F19" s="85"/>
      <c r="G19" s="85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6"/>
      <c r="S19" s="6"/>
      <c r="T19" s="6"/>
      <c r="U19" s="6"/>
      <c r="V19" s="6"/>
      <c r="W19" s="6"/>
      <c r="X19" s="6"/>
      <c r="Y19" s="6"/>
      <c r="Z19" s="6"/>
    </row>
    <row r="20" spans="1:27" x14ac:dyDescent="0.35">
      <c r="A20" s="22" t="s">
        <v>91</v>
      </c>
      <c r="B20" s="97"/>
      <c r="C20" s="85"/>
      <c r="D20" s="85"/>
      <c r="E20" s="85"/>
      <c r="F20" s="85"/>
      <c r="G20" s="85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6"/>
      <c r="S20" s="6"/>
      <c r="T20" s="6"/>
      <c r="U20" s="6"/>
      <c r="V20" s="6"/>
      <c r="W20" s="6"/>
      <c r="X20" s="6"/>
      <c r="Y20" s="6"/>
      <c r="Z20" s="6"/>
    </row>
    <row r="21" spans="1:27" x14ac:dyDescent="0.35">
      <c r="A21" s="2" t="s">
        <v>93</v>
      </c>
      <c r="B21" s="4">
        <f>'Resultat-YTD'!B21</f>
        <v>-0.1</v>
      </c>
      <c r="C21" s="85">
        <f>+'Resultat-YTD'!C21</f>
        <v>68.8</v>
      </c>
      <c r="D21" s="85">
        <f>+'Resultat-YTD'!D21</f>
        <v>56.8</v>
      </c>
      <c r="E21" s="85">
        <f>+'Resultat-YTD'!E21</f>
        <v>29.8</v>
      </c>
      <c r="F21" s="85">
        <f>+'Resultat-YTD'!F21</f>
        <v>-0.1</v>
      </c>
      <c r="G21" s="85">
        <v>-6.7</v>
      </c>
      <c r="H21" s="41">
        <v>4.4000000000000004</v>
      </c>
      <c r="I21" s="41">
        <v>6.4</v>
      </c>
      <c r="J21" s="41">
        <v>0.1</v>
      </c>
      <c r="K21" s="41">
        <v>-2.8690000000000002</v>
      </c>
      <c r="L21" s="41">
        <v>0.7</v>
      </c>
      <c r="M21" s="41">
        <v>0.1</v>
      </c>
      <c r="N21" s="61" t="s">
        <v>43</v>
      </c>
      <c r="O21" s="41">
        <v>-27.2</v>
      </c>
      <c r="P21" s="41">
        <v>-28.9</v>
      </c>
      <c r="Q21" s="41">
        <v>-13.9</v>
      </c>
      <c r="R21" s="6">
        <v>-0.44</v>
      </c>
      <c r="S21" s="6">
        <v>-3.1</v>
      </c>
      <c r="T21" s="6">
        <v>-2.7</v>
      </c>
      <c r="U21" s="6">
        <v>-4.5999999999999996</v>
      </c>
      <c r="V21" s="6">
        <v>-0.05</v>
      </c>
      <c r="W21" s="6">
        <v>-8</v>
      </c>
      <c r="X21" s="6">
        <v>-3.8</v>
      </c>
      <c r="Y21" s="62" t="s">
        <v>43</v>
      </c>
      <c r="Z21" s="62" t="s">
        <v>43</v>
      </c>
    </row>
    <row r="22" spans="1:27" x14ac:dyDescent="0.35">
      <c r="A22" s="29" t="s">
        <v>94</v>
      </c>
      <c r="B22" s="6">
        <f>'Resultat-YTD'!B22</f>
        <v>0</v>
      </c>
      <c r="C22" s="85">
        <f>+'Resultat-YTD'!C22</f>
        <v>-14.2</v>
      </c>
      <c r="D22" s="85">
        <f>+'Resultat-YTD'!D22</f>
        <v>-12.5</v>
      </c>
      <c r="E22" s="85">
        <f>+'Resultat-YTD'!E22</f>
        <v>-6.6</v>
      </c>
      <c r="F22" s="85">
        <f>+'Resultat-YTD'!F22</f>
        <v>0</v>
      </c>
      <c r="G22" s="85">
        <v>1.4</v>
      </c>
      <c r="H22" s="41">
        <v>-0.9</v>
      </c>
      <c r="I22" s="41">
        <v>-1.34</v>
      </c>
      <c r="J22" s="41">
        <v>0</v>
      </c>
      <c r="K22" s="41">
        <v>0.56299999999999994</v>
      </c>
      <c r="L22" s="61">
        <v>-0.1</v>
      </c>
      <c r="M22" s="61" t="s">
        <v>43</v>
      </c>
      <c r="N22" s="61" t="s">
        <v>43</v>
      </c>
      <c r="O22" s="41">
        <v>5.4</v>
      </c>
      <c r="P22" s="41">
        <v>6.4</v>
      </c>
      <c r="Q22" s="41">
        <v>3</v>
      </c>
      <c r="R22" s="6">
        <v>0.1</v>
      </c>
      <c r="S22" s="6">
        <v>0.5</v>
      </c>
      <c r="T22" s="62" t="s">
        <v>43</v>
      </c>
      <c r="U22" s="6">
        <v>1</v>
      </c>
      <c r="V22" s="62" t="s">
        <v>43</v>
      </c>
      <c r="W22" s="6">
        <v>1.8</v>
      </c>
      <c r="X22" s="6">
        <v>0.84</v>
      </c>
      <c r="Y22" s="62" t="s">
        <v>43</v>
      </c>
      <c r="Z22" s="62" t="s">
        <v>43</v>
      </c>
    </row>
    <row r="23" spans="1:27" x14ac:dyDescent="0.35">
      <c r="A23" s="22" t="s">
        <v>92</v>
      </c>
      <c r="B23" s="97"/>
      <c r="C23" s="85"/>
      <c r="D23" s="85"/>
      <c r="E23" s="85"/>
      <c r="F23" s="85"/>
      <c r="G23" s="85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6"/>
      <c r="S23" s="6"/>
      <c r="T23" s="6"/>
      <c r="U23" s="6"/>
      <c r="V23" s="6"/>
      <c r="W23" s="6"/>
      <c r="X23" s="6"/>
      <c r="Y23" s="6"/>
      <c r="Z23" s="6"/>
    </row>
    <row r="24" spans="1:27" x14ac:dyDescent="0.35">
      <c r="A24" s="29" t="s">
        <v>85</v>
      </c>
      <c r="B24" s="6">
        <f>'Resultat-YTD'!B24</f>
        <v>12.1</v>
      </c>
      <c r="C24" s="85">
        <f>+'Resultat-YTD'!C24</f>
        <v>54.9</v>
      </c>
      <c r="D24" s="85">
        <f>+'Resultat-YTD'!D24</f>
        <v>41.4</v>
      </c>
      <c r="E24" s="85">
        <f>+'Resultat-YTD'!E24</f>
        <v>28.7</v>
      </c>
      <c r="F24" s="85">
        <f>+'Resultat-YTD'!F24</f>
        <v>4.5</v>
      </c>
      <c r="G24" s="85">
        <v>17.8</v>
      </c>
      <c r="H24" s="41">
        <v>9</v>
      </c>
      <c r="I24" s="41">
        <v>5</v>
      </c>
      <c r="J24" s="41">
        <v>13.662000000000001</v>
      </c>
      <c r="K24" s="41">
        <v>-18.692</v>
      </c>
      <c r="L24" s="41">
        <v>2.9</v>
      </c>
      <c r="M24" s="41">
        <v>0.2</v>
      </c>
      <c r="N24" s="41">
        <v>23.84</v>
      </c>
      <c r="O24" s="41">
        <v>-6.66</v>
      </c>
      <c r="P24" s="41">
        <v>4</v>
      </c>
      <c r="Q24" s="41">
        <v>-2</v>
      </c>
      <c r="R24" s="6">
        <v>1.6</v>
      </c>
      <c r="S24" s="6">
        <v>5.4</v>
      </c>
      <c r="T24" s="6">
        <v>6</v>
      </c>
      <c r="U24" s="6">
        <v>7.96</v>
      </c>
      <c r="V24" s="6">
        <v>6</v>
      </c>
      <c r="W24" s="6">
        <v>3.4</v>
      </c>
      <c r="X24" s="6">
        <v>-0.2</v>
      </c>
      <c r="Y24" s="6">
        <v>1.1000000000000001</v>
      </c>
      <c r="Z24" s="6">
        <v>-0.34</v>
      </c>
    </row>
    <row r="25" spans="1:27" x14ac:dyDescent="0.35">
      <c r="A25" s="29" t="s">
        <v>86</v>
      </c>
      <c r="B25" s="6">
        <f>'Resultat-YTD'!B25</f>
        <v>1.9</v>
      </c>
      <c r="C25" s="85">
        <f>+'Resultat-YTD'!C25</f>
        <v>-5.3</v>
      </c>
      <c r="D25" s="85">
        <f>+'Resultat-YTD'!D25</f>
        <v>-5.8</v>
      </c>
      <c r="E25" s="85">
        <f>+'Resultat-YTD'!E25</f>
        <v>-5.0999999999999996</v>
      </c>
      <c r="F25" s="85">
        <f>+'Resultat-YTD'!F25</f>
        <v>1.9</v>
      </c>
      <c r="G25" s="85">
        <v>1.8</v>
      </c>
      <c r="H25" s="41">
        <v>-0.7</v>
      </c>
      <c r="I25" s="41">
        <v>0.7</v>
      </c>
      <c r="J25" s="41">
        <v>2.2559999999999998</v>
      </c>
      <c r="K25" s="41">
        <v>2.2999999999999998</v>
      </c>
      <c r="L25" s="41">
        <v>1.6</v>
      </c>
      <c r="M25" s="41">
        <v>0.4</v>
      </c>
      <c r="N25" s="41">
        <v>-1.9</v>
      </c>
      <c r="O25" s="41">
        <v>1.3</v>
      </c>
      <c r="P25" s="41">
        <v>1.5</v>
      </c>
      <c r="Q25" s="41">
        <v>1.4</v>
      </c>
      <c r="R25" s="6">
        <v>3.4</v>
      </c>
      <c r="S25" s="6">
        <v>-3.8</v>
      </c>
      <c r="T25" s="6">
        <v>-3.3</v>
      </c>
      <c r="U25" s="6">
        <v>-1.9</v>
      </c>
      <c r="V25" s="6">
        <v>-1.2350000000000001</v>
      </c>
      <c r="W25" s="6">
        <v>-1.4</v>
      </c>
      <c r="X25" s="6">
        <v>-2.5</v>
      </c>
      <c r="Y25" s="6">
        <v>-3.2</v>
      </c>
      <c r="Z25" s="6">
        <v>-0.74</v>
      </c>
    </row>
    <row r="26" spans="1:27" x14ac:dyDescent="0.35">
      <c r="A26" s="29" t="s">
        <v>94</v>
      </c>
      <c r="B26" s="70">
        <f>'Resultat-YTD'!B26</f>
        <v>-0.4</v>
      </c>
      <c r="C26" s="87">
        <f>+'Resultat-YTD'!C26</f>
        <v>1.1000000000000001</v>
      </c>
      <c r="D26" s="85">
        <f>+'Resultat-YTD'!D26</f>
        <v>1.2</v>
      </c>
      <c r="E26" s="85">
        <f>+'Resultat-YTD'!E26</f>
        <v>1.1000000000000001</v>
      </c>
      <c r="F26" s="85">
        <f>+'Resultat-YTD'!F26</f>
        <v>-0.4</v>
      </c>
      <c r="G26" s="85">
        <v>-0.4</v>
      </c>
      <c r="H26" s="41">
        <v>0.1</v>
      </c>
      <c r="I26" s="41">
        <v>-0.14000000000000001</v>
      </c>
      <c r="J26" s="41">
        <v>-0.46500000000000002</v>
      </c>
      <c r="K26" s="41">
        <v>-0.51900000000000002</v>
      </c>
      <c r="L26" s="41">
        <v>-0.34</v>
      </c>
      <c r="M26" s="41">
        <v>-0.1</v>
      </c>
      <c r="N26" s="41">
        <v>0.44</v>
      </c>
      <c r="O26" s="41">
        <v>-0.3</v>
      </c>
      <c r="P26" s="41">
        <v>-0.3</v>
      </c>
      <c r="Q26" s="41">
        <v>-0.3</v>
      </c>
      <c r="R26" s="6">
        <v>-0.74</v>
      </c>
      <c r="S26" s="6">
        <v>0.8</v>
      </c>
      <c r="T26" s="6">
        <v>0.7</v>
      </c>
      <c r="U26" s="6">
        <v>0.4</v>
      </c>
      <c r="V26" s="6">
        <v>0.27200000000000002</v>
      </c>
      <c r="W26" s="6">
        <v>0.3</v>
      </c>
      <c r="X26" s="6">
        <v>0.54</v>
      </c>
      <c r="Y26" s="6">
        <v>0.745</v>
      </c>
      <c r="Z26" s="6">
        <v>0.2</v>
      </c>
    </row>
    <row r="27" spans="1:27" s="22" customFormat="1" x14ac:dyDescent="0.35">
      <c r="A27" s="30" t="s">
        <v>87</v>
      </c>
      <c r="B27" s="96">
        <f>'Resultat-YTD'!B27</f>
        <v>66.5</v>
      </c>
      <c r="C27" s="88">
        <f>+'Resultat-YTD'!C27</f>
        <v>298.7</v>
      </c>
      <c r="D27" s="86">
        <f>+'Resultat-YTD'!D27</f>
        <v>237.7</v>
      </c>
      <c r="E27" s="86">
        <f>+'Resultat-YTD'!E27</f>
        <v>175.20000000000005</v>
      </c>
      <c r="F27" s="86">
        <f>+'Resultat-YTD'!F27</f>
        <v>71.8</v>
      </c>
      <c r="G27" s="86">
        <v>251.3</v>
      </c>
      <c r="H27" s="42">
        <f t="shared" ref="H27" si="4">SUM(H17:H26)</f>
        <v>193.32000000000008</v>
      </c>
      <c r="I27" s="42">
        <f t="shared" ref="I27" si="5">SUM(I17:I26)</f>
        <v>143.38000000000005</v>
      </c>
      <c r="J27" s="42">
        <f t="shared" ref="J27:K27" si="6">SUM(J17:J26)</f>
        <v>71.073000000000022</v>
      </c>
      <c r="K27" s="42">
        <f t="shared" si="6"/>
        <v>67.382999999999939</v>
      </c>
      <c r="L27" s="42">
        <v>81.74000000000008</v>
      </c>
      <c r="M27" s="42">
        <v>43.619999999999962</v>
      </c>
      <c r="N27" s="42">
        <v>63.959999999999987</v>
      </c>
      <c r="O27" s="42">
        <f>SUM(O17:O26)</f>
        <v>59.57999999999997</v>
      </c>
      <c r="P27" s="42">
        <f>SUM(P17:P26)</f>
        <v>60.319999999999922</v>
      </c>
      <c r="Q27" s="42">
        <f>SUM(Q17:Q26)</f>
        <v>41.280000000000015</v>
      </c>
      <c r="R27" s="19">
        <f>SUM(R17:R26)</f>
        <v>34.639999999999986</v>
      </c>
      <c r="S27" s="19">
        <v>61.999999999999915</v>
      </c>
      <c r="T27" s="19">
        <f>SUM(T17:T26)</f>
        <v>50.900000000000034</v>
      </c>
      <c r="U27" s="19">
        <f>SUM(U17:U26)</f>
        <v>33.020000000000046</v>
      </c>
      <c r="V27" s="19">
        <f>SUM(V17:V26)</f>
        <v>18.201000000000008</v>
      </c>
      <c r="W27" s="19">
        <v>67.420000000000115</v>
      </c>
      <c r="X27" s="19">
        <f>SUM(X17:X26)</f>
        <v>56.660000000000004</v>
      </c>
      <c r="Y27" s="19">
        <f>SUM(Y17:Y26)</f>
        <v>42.445000000000029</v>
      </c>
      <c r="Z27" s="19">
        <f>SUM(Z17:Z26)</f>
        <v>23.300000000000036</v>
      </c>
    </row>
    <row r="28" spans="1:27" s="22" customFormat="1" x14ac:dyDescent="0.35">
      <c r="A28" s="31"/>
      <c r="B28" s="17"/>
      <c r="C28" s="110"/>
      <c r="D28" s="88"/>
      <c r="E28" s="88"/>
      <c r="F28" s="88"/>
      <c r="G28" s="88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17"/>
      <c r="S28" s="17"/>
      <c r="T28" s="17"/>
      <c r="U28" s="17"/>
      <c r="V28" s="17"/>
      <c r="W28" s="17"/>
      <c r="X28" s="17"/>
      <c r="Y28" s="17"/>
      <c r="Z28" s="17"/>
    </row>
    <row r="29" spans="1:27" x14ac:dyDescent="0.35">
      <c r="A29" s="31" t="s">
        <v>88</v>
      </c>
      <c r="B29" s="17"/>
      <c r="C29" s="88"/>
      <c r="D29" s="85"/>
      <c r="E29" s="85"/>
      <c r="F29" s="85"/>
      <c r="G29" s="85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6"/>
      <c r="S29" s="6"/>
      <c r="T29" s="6"/>
      <c r="U29" s="6"/>
      <c r="V29" s="6"/>
      <c r="W29" s="6"/>
      <c r="X29" s="6"/>
      <c r="Y29" s="6"/>
      <c r="Z29" s="6"/>
    </row>
    <row r="30" spans="1:27" x14ac:dyDescent="0.35">
      <c r="A30" s="29" t="s">
        <v>89</v>
      </c>
      <c r="B30" s="113">
        <f>'Resultat-YTD'!B30</f>
        <v>1.25</v>
      </c>
      <c r="C30" s="94">
        <f>'Resultat-YTD'!C30</f>
        <v>4.57</v>
      </c>
      <c r="D30" s="92">
        <f>'Resultat-YTD'!D30</f>
        <v>3.7039565964241774</v>
      </c>
      <c r="E30" s="92">
        <v>3.0092106601324864</v>
      </c>
      <c r="F30" s="92">
        <v>1.555975641089546</v>
      </c>
      <c r="G30" s="92">
        <v>5.6209084974801025</v>
      </c>
      <c r="H30" s="93">
        <v>4.3001399522924428</v>
      </c>
      <c r="I30" s="93">
        <v>3.1532109365605971</v>
      </c>
      <c r="J30" s="93">
        <v>1.3252022106348662</v>
      </c>
      <c r="K30" s="93">
        <v>2.0787286142326895</v>
      </c>
      <c r="L30" s="93">
        <v>1.8481403587197784</v>
      </c>
      <c r="M30" s="93">
        <v>1.0317981817382744</v>
      </c>
      <c r="N30" s="93">
        <v>0.9988301775827243</v>
      </c>
      <c r="O30" s="93">
        <v>2.1109478142007725</v>
      </c>
      <c r="P30" s="93">
        <v>1.8890306077734138</v>
      </c>
      <c r="Q30" s="93">
        <v>1.3</v>
      </c>
      <c r="R30" s="93">
        <v>0.76030177040954205</v>
      </c>
      <c r="S30" s="93">
        <v>1.5413683795583524</v>
      </c>
      <c r="T30" s="93">
        <v>1.2452120103234636</v>
      </c>
      <c r="U30" s="93">
        <v>0.74758338229788801</v>
      </c>
      <c r="V30" s="93">
        <v>0.32733114666309659</v>
      </c>
      <c r="W30" s="93">
        <v>1.8433333333333335</v>
      </c>
      <c r="X30" s="93">
        <v>1.62</v>
      </c>
      <c r="Y30" s="93">
        <v>1.1833333333333333</v>
      </c>
      <c r="Z30" s="93">
        <v>0.70403345827763297</v>
      </c>
    </row>
    <row r="31" spans="1:27" x14ac:dyDescent="0.35">
      <c r="A31" s="29" t="s">
        <v>90</v>
      </c>
      <c r="B31" s="6">
        <f>'Resultat-YTD'!B31</f>
        <v>42.3</v>
      </c>
      <c r="C31" s="94">
        <f>+'Resultat-3M'!C31</f>
        <v>42.3</v>
      </c>
      <c r="D31" s="94">
        <f>+'Resultat-3M'!D31</f>
        <v>42.3</v>
      </c>
      <c r="E31" s="94">
        <f>+'Resultat-3M'!E31</f>
        <v>42.3</v>
      </c>
      <c r="F31" s="94">
        <f>+'Resultat-3M'!F31</f>
        <v>42.3</v>
      </c>
      <c r="G31" s="94">
        <v>42.2</v>
      </c>
      <c r="H31" s="94">
        <v>42.2</v>
      </c>
      <c r="I31" s="95">
        <v>41.9</v>
      </c>
      <c r="J31" s="95">
        <v>41.7</v>
      </c>
      <c r="K31" s="95">
        <v>41.7</v>
      </c>
      <c r="L31" s="95">
        <f>+'Resultat-3M'!L31</f>
        <v>41.7</v>
      </c>
      <c r="M31" s="95">
        <f>+'Resultat-3M'!M31</f>
        <v>41.7</v>
      </c>
      <c r="N31" s="95">
        <f>+'Resultat-3M'!N31</f>
        <v>41.7</v>
      </c>
      <c r="O31" s="95">
        <v>41.2</v>
      </c>
      <c r="P31" s="95">
        <v>41.2</v>
      </c>
      <c r="Q31" s="95">
        <v>40.799999999999997</v>
      </c>
      <c r="R31" s="95">
        <v>40.299999999999997</v>
      </c>
      <c r="S31" s="95">
        <f>+'Resultat-3M'!S31</f>
        <v>40.299999999999997</v>
      </c>
      <c r="T31" s="95">
        <f>+'Resultat-3M'!T31</f>
        <v>40.299999999999997</v>
      </c>
      <c r="U31" s="95">
        <f>+'Resultat-3M'!U31</f>
        <v>40.299999999999997</v>
      </c>
      <c r="V31" s="95">
        <f>+'Resultat-3M'!V31</f>
        <v>40.299999999999997</v>
      </c>
      <c r="W31" s="95">
        <v>38.700000000000003</v>
      </c>
      <c r="X31" s="95">
        <v>38.1</v>
      </c>
      <c r="Y31" s="95">
        <v>37</v>
      </c>
      <c r="Z31" s="95">
        <f>+'Resultat-3M'!Z31</f>
        <v>34.299999999999997</v>
      </c>
      <c r="AA31" s="95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7"/>
  <sheetViews>
    <sheetView showGridLines="0" workbookViewId="0">
      <pane xSplit="1" ySplit="2" topLeftCell="B15" activePane="bottomRight" state="frozen"/>
      <selection pane="topRight" activeCell="B1" sqref="B1"/>
      <selection pane="bottomLeft" activeCell="A3" sqref="A3"/>
      <selection pane="bottomRight" activeCell="B6" sqref="B6:B10"/>
    </sheetView>
  </sheetViews>
  <sheetFormatPr defaultRowHeight="14.5" x14ac:dyDescent="0.35"/>
  <cols>
    <col min="1" max="1" width="55.1796875" bestFit="1" customWidth="1"/>
    <col min="2" max="2" width="9.1796875" style="2" customWidth="1"/>
    <col min="3" max="3" width="9.1796875" style="45"/>
    <col min="4" max="4" width="8.7265625" style="45"/>
    <col min="5" max="5" width="9.1796875" style="45"/>
  </cols>
  <sheetData>
    <row r="1" spans="1:6" ht="23.5" x14ac:dyDescent="0.55000000000000004">
      <c r="A1" s="33" t="s">
        <v>46</v>
      </c>
      <c r="B1" s="33"/>
      <c r="F1" s="2"/>
    </row>
    <row r="2" spans="1:6" x14ac:dyDescent="0.35">
      <c r="A2" s="14" t="s">
        <v>0</v>
      </c>
      <c r="B2" s="15" t="s">
        <v>231</v>
      </c>
      <c r="C2" s="52" t="s">
        <v>206</v>
      </c>
      <c r="D2" s="52" t="s">
        <v>188</v>
      </c>
      <c r="E2" s="52" t="s">
        <v>73</v>
      </c>
      <c r="F2" s="15" t="s">
        <v>1</v>
      </c>
    </row>
    <row r="3" spans="1:6" x14ac:dyDescent="0.35">
      <c r="A3" s="20" t="s">
        <v>25</v>
      </c>
      <c r="B3" s="97"/>
      <c r="C3" s="53"/>
      <c r="D3" s="53"/>
      <c r="E3" s="53"/>
      <c r="F3" s="3"/>
    </row>
    <row r="4" spans="1:6" s="2" customFormat="1" x14ac:dyDescent="0.35">
      <c r="A4" s="20"/>
      <c r="B4" s="97"/>
      <c r="C4" s="53"/>
      <c r="D4" s="53"/>
      <c r="E4" s="53"/>
      <c r="F4" s="3"/>
    </row>
    <row r="5" spans="1:6" x14ac:dyDescent="0.35">
      <c r="A5" s="20" t="s">
        <v>26</v>
      </c>
      <c r="B5" s="97"/>
      <c r="C5" s="53"/>
      <c r="D5" s="53"/>
      <c r="E5" s="53"/>
      <c r="F5" s="3"/>
    </row>
    <row r="6" spans="1:6" x14ac:dyDescent="0.35">
      <c r="A6" s="9" t="s">
        <v>27</v>
      </c>
      <c r="B6" s="6">
        <v>554.5</v>
      </c>
      <c r="C6" s="85">
        <f>270.1+264.8</f>
        <v>534.90000000000009</v>
      </c>
      <c r="D6" s="41">
        <v>364.00299999999999</v>
      </c>
      <c r="E6" s="41">
        <f>221.4+170.3</f>
        <v>391.70000000000005</v>
      </c>
      <c r="F6" s="6">
        <f>119.2+87.6-0.04</f>
        <v>206.76000000000002</v>
      </c>
    </row>
    <row r="7" spans="1:6" x14ac:dyDescent="0.35">
      <c r="A7" s="9" t="s">
        <v>28</v>
      </c>
      <c r="B7" s="6">
        <f>255.5-88.8</f>
        <v>166.7</v>
      </c>
      <c r="C7" s="85">
        <v>138.5</v>
      </c>
      <c r="D7" s="41">
        <f>183.124-47.824</f>
        <v>135.30000000000001</v>
      </c>
      <c r="E7" s="41">
        <v>128.4</v>
      </c>
      <c r="F7" s="6">
        <f>131.8-0.04</f>
        <v>131.76000000000002</v>
      </c>
    </row>
    <row r="8" spans="1:6" s="2" customFormat="1" x14ac:dyDescent="0.35">
      <c r="A8" s="9" t="s">
        <v>67</v>
      </c>
      <c r="B8" s="6">
        <v>88.7</v>
      </c>
      <c r="C8" s="85">
        <v>43.6</v>
      </c>
      <c r="D8" s="41">
        <v>47.823999999999998</v>
      </c>
      <c r="E8" s="41">
        <v>46.9</v>
      </c>
      <c r="F8" s="62" t="s">
        <v>43</v>
      </c>
    </row>
    <row r="9" spans="1:6" x14ac:dyDescent="0.35">
      <c r="A9" s="9" t="s">
        <v>29</v>
      </c>
      <c r="B9" s="6">
        <v>4.0999999999999996</v>
      </c>
      <c r="C9" s="85">
        <v>4</v>
      </c>
      <c r="D9" s="41">
        <v>4.4779999999999998</v>
      </c>
      <c r="E9" s="41">
        <v>3.4</v>
      </c>
      <c r="F9" s="6">
        <v>3.8</v>
      </c>
    </row>
    <row r="10" spans="1:6" x14ac:dyDescent="0.35">
      <c r="A10" s="9" t="s">
        <v>30</v>
      </c>
      <c r="B10" s="6">
        <v>7.6</v>
      </c>
      <c r="C10" s="85">
        <v>25</v>
      </c>
      <c r="D10" s="41">
        <v>26.672999999999998</v>
      </c>
      <c r="E10" s="41">
        <v>27.6</v>
      </c>
      <c r="F10" s="6">
        <v>25.1</v>
      </c>
    </row>
    <row r="11" spans="1:6" x14ac:dyDescent="0.35">
      <c r="A11" s="18" t="s">
        <v>31</v>
      </c>
      <c r="B11" s="19">
        <f>SUM(B6:B10)</f>
        <v>821.60000000000014</v>
      </c>
      <c r="C11" s="86">
        <v>746</v>
      </c>
      <c r="D11" s="42">
        <f>SUM(D6:D10)</f>
        <v>578.27799999999991</v>
      </c>
      <c r="E11" s="42">
        <f>SUM(E6:E10)</f>
        <v>598</v>
      </c>
      <c r="F11" s="19">
        <f>SUM(F6:F10)</f>
        <v>367.42000000000007</v>
      </c>
    </row>
    <row r="12" spans="1:6" s="2" customFormat="1" x14ac:dyDescent="0.35">
      <c r="A12" s="16"/>
      <c r="B12" s="108"/>
      <c r="C12" s="88"/>
      <c r="D12" s="43"/>
      <c r="E12" s="43"/>
      <c r="F12" s="17"/>
    </row>
    <row r="13" spans="1:6" x14ac:dyDescent="0.35">
      <c r="A13" s="10" t="s">
        <v>32</v>
      </c>
      <c r="B13" s="4"/>
      <c r="C13" s="85"/>
      <c r="D13" s="41"/>
      <c r="E13" s="41"/>
      <c r="F13" s="6"/>
    </row>
    <row r="14" spans="1:6" x14ac:dyDescent="0.35">
      <c r="A14" s="9" t="s">
        <v>33</v>
      </c>
      <c r="B14" s="6">
        <v>578.6</v>
      </c>
      <c r="C14" s="85">
        <v>415.4</v>
      </c>
      <c r="D14" s="41">
        <v>310.74299999999999</v>
      </c>
      <c r="E14" s="41">
        <v>287.89999999999998</v>
      </c>
      <c r="F14" s="6">
        <v>212.6</v>
      </c>
    </row>
    <row r="15" spans="1:6" x14ac:dyDescent="0.35">
      <c r="A15" s="9" t="s">
        <v>34</v>
      </c>
      <c r="B15" s="6">
        <v>328.4</v>
      </c>
      <c r="C15" s="85">
        <v>376.1</v>
      </c>
      <c r="D15" s="41">
        <v>277.23399999999998</v>
      </c>
      <c r="E15" s="41">
        <v>211.74</v>
      </c>
      <c r="F15" s="6">
        <v>194.7</v>
      </c>
    </row>
    <row r="16" spans="1:6" x14ac:dyDescent="0.35">
      <c r="A16" s="9" t="s">
        <v>35</v>
      </c>
      <c r="B16" s="6">
        <v>69.599999999999994</v>
      </c>
      <c r="C16" s="85">
        <v>193.9</v>
      </c>
      <c r="D16" s="41">
        <v>203.47200000000001</v>
      </c>
      <c r="E16" s="41">
        <v>131.131</v>
      </c>
      <c r="F16" s="6">
        <v>215.5</v>
      </c>
    </row>
    <row r="17" spans="1:6" x14ac:dyDescent="0.35">
      <c r="A17" s="18" t="s">
        <v>36</v>
      </c>
      <c r="B17" s="19">
        <f>SUM(B11:B16)</f>
        <v>1798.2000000000003</v>
      </c>
      <c r="C17" s="86">
        <v>1731.4</v>
      </c>
      <c r="D17" s="42">
        <f>D11+D15+D14+D16</f>
        <v>1369.7269999999999</v>
      </c>
      <c r="E17" s="42">
        <f>E11+E15+E14+E16</f>
        <v>1228.771</v>
      </c>
      <c r="F17" s="19">
        <f>F11+F15+F14+F16</f>
        <v>990.22000000000014</v>
      </c>
    </row>
    <row r="18" spans="1:6" s="2" customFormat="1" x14ac:dyDescent="0.35">
      <c r="A18" s="9"/>
      <c r="B18" s="107"/>
      <c r="C18" s="85"/>
      <c r="D18" s="41"/>
      <c r="E18" s="41"/>
      <c r="F18" s="6"/>
    </row>
    <row r="19" spans="1:6" x14ac:dyDescent="0.35">
      <c r="A19" s="20" t="s">
        <v>37</v>
      </c>
      <c r="B19" s="97"/>
      <c r="C19" s="85"/>
      <c r="D19" s="41"/>
      <c r="E19" s="41"/>
      <c r="F19" s="6"/>
    </row>
    <row r="20" spans="1:6" x14ac:dyDescent="0.35">
      <c r="A20" s="9" t="s">
        <v>38</v>
      </c>
      <c r="B20" s="6">
        <v>999.8</v>
      </c>
      <c r="C20" s="85">
        <v>806.9</v>
      </c>
      <c r="D20" s="41">
        <v>581.89300000000003</v>
      </c>
      <c r="E20" s="41">
        <v>563.1</v>
      </c>
      <c r="F20" s="6">
        <f>504.9+0.04</f>
        <v>504.94</v>
      </c>
    </row>
    <row r="21" spans="1:6" s="22" customFormat="1" x14ac:dyDescent="0.35">
      <c r="A21" s="18" t="s">
        <v>39</v>
      </c>
      <c r="B21" s="19">
        <f t="shared" ref="B21:D21" si="0">SUM(B20)</f>
        <v>999.8</v>
      </c>
      <c r="C21" s="86">
        <f t="shared" si="0"/>
        <v>806.9</v>
      </c>
      <c r="D21" s="42">
        <f t="shared" si="0"/>
        <v>581.89300000000003</v>
      </c>
      <c r="E21" s="42">
        <f t="shared" ref="E21" si="1">SUM(E20)</f>
        <v>563.1</v>
      </c>
      <c r="F21" s="19">
        <f t="shared" ref="F21" si="2">SUM(F20)</f>
        <v>504.94</v>
      </c>
    </row>
    <row r="22" spans="1:6" s="2" customFormat="1" x14ac:dyDescent="0.35">
      <c r="A22" s="9"/>
      <c r="B22" s="107"/>
      <c r="C22" s="85"/>
      <c r="D22" s="41"/>
      <c r="E22" s="41"/>
      <c r="F22" s="6"/>
    </row>
    <row r="23" spans="1:6" x14ac:dyDescent="0.35">
      <c r="A23" s="20" t="s">
        <v>40</v>
      </c>
      <c r="B23" s="97"/>
      <c r="C23" s="85"/>
      <c r="D23" s="41"/>
      <c r="E23" s="41"/>
      <c r="F23" s="6"/>
    </row>
    <row r="24" spans="1:6" x14ac:dyDescent="0.35">
      <c r="A24" s="9" t="s">
        <v>41</v>
      </c>
      <c r="B24" s="6">
        <v>341.1</v>
      </c>
      <c r="C24" s="85">
        <v>396.8</v>
      </c>
      <c r="D24" s="41">
        <v>321.84399999999999</v>
      </c>
      <c r="E24" s="41">
        <v>325.60000000000002</v>
      </c>
      <c r="F24" s="6">
        <f>233.4+0.04</f>
        <v>233.44</v>
      </c>
    </row>
    <row r="25" spans="1:6" x14ac:dyDescent="0.35">
      <c r="A25" s="9" t="s">
        <v>42</v>
      </c>
      <c r="B25" s="6" t="s">
        <v>43</v>
      </c>
      <c r="C25" s="85" t="s">
        <v>43</v>
      </c>
      <c r="D25" s="41" t="s">
        <v>43</v>
      </c>
      <c r="E25" s="41" t="s">
        <v>43</v>
      </c>
      <c r="F25" s="6" t="s">
        <v>43</v>
      </c>
    </row>
    <row r="26" spans="1:6" x14ac:dyDescent="0.35">
      <c r="A26" s="9" t="s">
        <v>44</v>
      </c>
      <c r="B26" s="6">
        <v>457.3</v>
      </c>
      <c r="C26" s="85">
        <v>527.70000000000005</v>
      </c>
      <c r="D26" s="41">
        <v>465.99</v>
      </c>
      <c r="E26" s="41">
        <v>340.1</v>
      </c>
      <c r="F26" s="6">
        <v>251.8</v>
      </c>
    </row>
    <row r="27" spans="1:6" x14ac:dyDescent="0.35">
      <c r="A27" s="18" t="s">
        <v>45</v>
      </c>
      <c r="B27" s="19">
        <f>SUM(B21:B26)</f>
        <v>1798.2</v>
      </c>
      <c r="C27" s="86">
        <f>SUM(C21:C26)</f>
        <v>1731.4</v>
      </c>
      <c r="D27" s="42">
        <f>SUM(D21:D26)</f>
        <v>1369.7270000000001</v>
      </c>
      <c r="E27" s="42">
        <f>SUM(E21:E26)</f>
        <v>1228.8000000000002</v>
      </c>
      <c r="F27" s="19">
        <f>SUM(F21:F26)</f>
        <v>990.18000000000006</v>
      </c>
    </row>
  </sheetData>
  <pageMargins left="0.7" right="0.7" top="0.75" bottom="0.75" header="0.3" footer="0.3"/>
  <ignoredErrors>
    <ignoredError sqref="F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 tint="0.499984740745262"/>
  </sheetPr>
  <dimension ref="A1:F27"/>
  <sheetViews>
    <sheetView showGridLines="0" workbookViewId="0">
      <pane xSplit="1" ySplit="2" topLeftCell="B15" activePane="bottomRight" state="frozen"/>
      <selection activeCell="W1" sqref="W1:X1048576"/>
      <selection pane="topRight" activeCell="W1" sqref="W1:X1048576"/>
      <selection pane="bottomLeft" activeCell="W1" sqref="W1:X1048576"/>
      <selection pane="bottomRight" activeCell="B6" sqref="B6"/>
    </sheetView>
  </sheetViews>
  <sheetFormatPr defaultColWidth="9.1796875" defaultRowHeight="14.5" x14ac:dyDescent="0.35"/>
  <cols>
    <col min="1" max="1" width="55.1796875" style="2" bestFit="1" customWidth="1"/>
    <col min="2" max="2" width="13.54296875" style="2" customWidth="1"/>
    <col min="3" max="5" width="9.1796875" style="45"/>
    <col min="6" max="16384" width="9.1796875" style="2"/>
  </cols>
  <sheetData>
    <row r="1" spans="1:6" ht="23.5" x14ac:dyDescent="0.55000000000000004">
      <c r="A1" s="33" t="s">
        <v>135</v>
      </c>
      <c r="B1" s="33"/>
    </row>
    <row r="2" spans="1:6" x14ac:dyDescent="0.35">
      <c r="A2" s="14" t="s">
        <v>0</v>
      </c>
      <c r="B2" s="15" t="s">
        <v>231</v>
      </c>
      <c r="C2" s="52" t="s">
        <v>206</v>
      </c>
      <c r="D2" s="52" t="s">
        <v>188</v>
      </c>
      <c r="E2" s="52" t="s">
        <v>73</v>
      </c>
      <c r="F2" s="15" t="s">
        <v>1</v>
      </c>
    </row>
    <row r="3" spans="1:6" x14ac:dyDescent="0.35">
      <c r="A3" s="20" t="s">
        <v>95</v>
      </c>
      <c r="B3" s="97"/>
      <c r="C3" s="53"/>
      <c r="D3" s="53"/>
      <c r="E3" s="53"/>
      <c r="F3" s="3"/>
    </row>
    <row r="4" spans="1:6" x14ac:dyDescent="0.35">
      <c r="A4" s="20"/>
      <c r="B4" s="97"/>
      <c r="C4" s="53"/>
      <c r="D4" s="53"/>
      <c r="E4" s="53"/>
      <c r="F4" s="3"/>
    </row>
    <row r="5" spans="1:6" x14ac:dyDescent="0.35">
      <c r="A5" s="20" t="s">
        <v>96</v>
      </c>
      <c r="B5" s="97"/>
      <c r="C5" s="53"/>
      <c r="D5" s="53"/>
      <c r="E5" s="53"/>
      <c r="F5" s="3"/>
    </row>
    <row r="6" spans="1:6" x14ac:dyDescent="0.35">
      <c r="A6" s="9" t="s">
        <v>97</v>
      </c>
      <c r="B6" s="6">
        <f>+Balansräkning!B6</f>
        <v>554.5</v>
      </c>
      <c r="C6" s="85">
        <f>+Balansräkning!C6</f>
        <v>534.90000000000009</v>
      </c>
      <c r="D6" s="41">
        <v>364.00299999999999</v>
      </c>
      <c r="E6" s="41">
        <f>221.4+170.3</f>
        <v>391.70000000000005</v>
      </c>
      <c r="F6" s="6">
        <f>119.2+87.6-0.04</f>
        <v>206.76000000000002</v>
      </c>
    </row>
    <row r="7" spans="1:6" x14ac:dyDescent="0.35">
      <c r="A7" s="9" t="s">
        <v>98</v>
      </c>
      <c r="B7" s="6">
        <f>+Balansräkning!B7</f>
        <v>166.7</v>
      </c>
      <c r="C7" s="85">
        <f>+Balansräkning!C7</f>
        <v>138.5</v>
      </c>
      <c r="D7" s="41">
        <v>135.30000000000001</v>
      </c>
      <c r="E7" s="41">
        <v>128.4</v>
      </c>
      <c r="F7" s="6">
        <f>131.8-0.04</f>
        <v>131.76000000000002</v>
      </c>
    </row>
    <row r="8" spans="1:6" x14ac:dyDescent="0.35">
      <c r="A8" s="9" t="s">
        <v>114</v>
      </c>
      <c r="B8" s="6">
        <f>+Balansräkning!B8</f>
        <v>88.7</v>
      </c>
      <c r="C8" s="85">
        <f>+Balansräkning!C8</f>
        <v>43.6</v>
      </c>
      <c r="D8" s="41">
        <v>47.823999999999998</v>
      </c>
      <c r="E8" s="41">
        <v>46.9</v>
      </c>
      <c r="F8" s="62" t="s">
        <v>43</v>
      </c>
    </row>
    <row r="9" spans="1:6" x14ac:dyDescent="0.35">
      <c r="A9" s="9" t="s">
        <v>99</v>
      </c>
      <c r="B9" s="6">
        <f>+Balansräkning!B9</f>
        <v>4.0999999999999996</v>
      </c>
      <c r="C9" s="85">
        <f>+Balansräkning!C9</f>
        <v>4</v>
      </c>
      <c r="D9" s="41">
        <v>4.4779999999999998</v>
      </c>
      <c r="E9" s="41">
        <v>3.4</v>
      </c>
      <c r="F9" s="6">
        <v>3.8</v>
      </c>
    </row>
    <row r="10" spans="1:6" x14ac:dyDescent="0.35">
      <c r="A10" s="9" t="s">
        <v>100</v>
      </c>
      <c r="B10" s="6">
        <f>+Balansräkning!B10</f>
        <v>7.6</v>
      </c>
      <c r="C10" s="85">
        <f>+Balansräkning!C10</f>
        <v>25</v>
      </c>
      <c r="D10" s="41">
        <v>26.672999999999998</v>
      </c>
      <c r="E10" s="41">
        <v>27.6</v>
      </c>
      <c r="F10" s="6">
        <v>25.1</v>
      </c>
    </row>
    <row r="11" spans="1:6" x14ac:dyDescent="0.35">
      <c r="A11" s="18" t="s">
        <v>101</v>
      </c>
      <c r="B11" s="19">
        <f>+Balansräkning!B11</f>
        <v>821.60000000000014</v>
      </c>
      <c r="C11" s="86">
        <f>+Balansräkning!C11</f>
        <v>746</v>
      </c>
      <c r="D11" s="42">
        <v>578.27799999999991</v>
      </c>
      <c r="E11" s="42">
        <f>SUM(E6:E10)</f>
        <v>598</v>
      </c>
      <c r="F11" s="19">
        <f>SUM(F6:F10)</f>
        <v>367.42000000000007</v>
      </c>
    </row>
    <row r="12" spans="1:6" x14ac:dyDescent="0.35">
      <c r="A12" s="16"/>
      <c r="B12" s="17"/>
      <c r="C12" s="88"/>
      <c r="D12" s="43"/>
      <c r="E12" s="43"/>
      <c r="F12" s="17"/>
    </row>
    <row r="13" spans="1:6" x14ac:dyDescent="0.35">
      <c r="A13" s="10" t="s">
        <v>102</v>
      </c>
      <c r="B13" s="6"/>
      <c r="C13" s="85"/>
      <c r="D13" s="41"/>
      <c r="E13" s="41"/>
      <c r="F13" s="6"/>
    </row>
    <row r="14" spans="1:6" x14ac:dyDescent="0.35">
      <c r="A14" s="9" t="s">
        <v>103</v>
      </c>
      <c r="B14" s="6">
        <f>+Balansräkning!B14</f>
        <v>578.6</v>
      </c>
      <c r="C14" s="85">
        <f>+Balansräkning!C14</f>
        <v>415.4</v>
      </c>
      <c r="D14" s="41">
        <v>310.74299999999999</v>
      </c>
      <c r="E14" s="41">
        <v>287.89999999999998</v>
      </c>
      <c r="F14" s="6">
        <v>212.6</v>
      </c>
    </row>
    <row r="15" spans="1:6" x14ac:dyDescent="0.35">
      <c r="A15" s="9" t="s">
        <v>104</v>
      </c>
      <c r="B15" s="6">
        <f>+Balansräkning!B15</f>
        <v>328.4</v>
      </c>
      <c r="C15" s="85">
        <f>+Balansräkning!C15</f>
        <v>376.1</v>
      </c>
      <c r="D15" s="41">
        <v>277.23399999999998</v>
      </c>
      <c r="E15" s="41">
        <v>211.74</v>
      </c>
      <c r="F15" s="6">
        <v>194.7</v>
      </c>
    </row>
    <row r="16" spans="1:6" x14ac:dyDescent="0.35">
      <c r="A16" s="91" t="s">
        <v>211</v>
      </c>
      <c r="B16" s="41">
        <f>+Balansräkning!B16</f>
        <v>69.599999999999994</v>
      </c>
      <c r="C16" s="85">
        <f>+Balansräkning!C16</f>
        <v>193.9</v>
      </c>
      <c r="D16" s="41">
        <v>203.47200000000001</v>
      </c>
      <c r="E16" s="41">
        <v>131.131</v>
      </c>
      <c r="F16" s="6">
        <v>215.5</v>
      </c>
    </row>
    <row r="17" spans="1:6" x14ac:dyDescent="0.35">
      <c r="A17" s="18" t="s">
        <v>105</v>
      </c>
      <c r="B17" s="19">
        <f>+Balansräkning!B17</f>
        <v>1798.2000000000003</v>
      </c>
      <c r="C17" s="86">
        <f>+Balansräkning!C17</f>
        <v>1731.4</v>
      </c>
      <c r="D17" s="42">
        <v>1369.7269999999999</v>
      </c>
      <c r="E17" s="42">
        <f>E11+E15+E14+E16</f>
        <v>1228.771</v>
      </c>
      <c r="F17" s="19">
        <f>F11+F15+F14+F16</f>
        <v>990.22000000000014</v>
      </c>
    </row>
    <row r="18" spans="1:6" x14ac:dyDescent="0.35">
      <c r="A18" s="9"/>
      <c r="B18" s="6"/>
      <c r="C18" s="85"/>
      <c r="D18" s="41"/>
      <c r="E18" s="41"/>
      <c r="F18" s="6"/>
    </row>
    <row r="19" spans="1:6" x14ac:dyDescent="0.35">
      <c r="A19" s="20" t="s">
        <v>106</v>
      </c>
      <c r="B19" s="17"/>
      <c r="C19" s="85"/>
      <c r="D19" s="41"/>
      <c r="E19" s="41"/>
      <c r="F19" s="6"/>
    </row>
    <row r="20" spans="1:6" x14ac:dyDescent="0.35">
      <c r="A20" s="9" t="s">
        <v>113</v>
      </c>
      <c r="B20" s="6">
        <f>+Balansräkning!B20</f>
        <v>999.8</v>
      </c>
      <c r="C20" s="85">
        <f>+Balansräkning!C20</f>
        <v>806.9</v>
      </c>
      <c r="D20" s="41">
        <v>581.89300000000003</v>
      </c>
      <c r="E20" s="41">
        <v>563.1</v>
      </c>
      <c r="F20" s="6">
        <f>504.9+0.04</f>
        <v>504.94</v>
      </c>
    </row>
    <row r="21" spans="1:6" s="22" customFormat="1" x14ac:dyDescent="0.35">
      <c r="A21" s="18" t="s">
        <v>107</v>
      </c>
      <c r="B21" s="19">
        <f>+Balansräkning!B21</f>
        <v>999.8</v>
      </c>
      <c r="C21" s="86">
        <f>+Balansräkning!C21</f>
        <v>806.9</v>
      </c>
      <c r="D21" s="42">
        <v>581.89300000000003</v>
      </c>
      <c r="E21" s="42">
        <f t="shared" ref="E21" si="0">SUM(E20)</f>
        <v>563.1</v>
      </c>
      <c r="F21" s="19">
        <f t="shared" ref="F21" si="1">SUM(F20)</f>
        <v>504.94</v>
      </c>
    </row>
    <row r="22" spans="1:6" x14ac:dyDescent="0.35">
      <c r="A22" s="9"/>
      <c r="B22" s="6"/>
      <c r="C22" s="85"/>
      <c r="D22" s="41"/>
      <c r="E22" s="41"/>
      <c r="F22" s="6"/>
    </row>
    <row r="23" spans="1:6" x14ac:dyDescent="0.35">
      <c r="A23" s="20" t="s">
        <v>108</v>
      </c>
      <c r="B23" s="17"/>
      <c r="C23" s="85"/>
      <c r="D23" s="41"/>
      <c r="E23" s="41"/>
      <c r="F23" s="6"/>
    </row>
    <row r="24" spans="1:6" x14ac:dyDescent="0.35">
      <c r="A24" s="9" t="s">
        <v>109</v>
      </c>
      <c r="B24" s="6">
        <f>+Balansräkning!B24</f>
        <v>341.1</v>
      </c>
      <c r="C24" s="85">
        <f>+Balansräkning!C24</f>
        <v>396.8</v>
      </c>
      <c r="D24" s="41">
        <v>321.84399999999999</v>
      </c>
      <c r="E24" s="41">
        <v>325.60000000000002</v>
      </c>
      <c r="F24" s="6">
        <f>233.4+0.04</f>
        <v>233.44</v>
      </c>
    </row>
    <row r="25" spans="1:6" x14ac:dyDescent="0.35">
      <c r="A25" s="9" t="s">
        <v>112</v>
      </c>
      <c r="B25" s="6" t="str">
        <f>+Balansräkning!B25</f>
        <v>-</v>
      </c>
      <c r="C25" s="85" t="str">
        <f>+Balansräkning!C25</f>
        <v>-</v>
      </c>
      <c r="D25" s="41" t="s">
        <v>43</v>
      </c>
      <c r="E25" s="41" t="s">
        <v>43</v>
      </c>
      <c r="F25" s="6" t="s">
        <v>43</v>
      </c>
    </row>
    <row r="26" spans="1:6" x14ac:dyDescent="0.35">
      <c r="A26" s="9" t="s">
        <v>110</v>
      </c>
      <c r="B26" s="6">
        <f>+Balansräkning!B26</f>
        <v>457.3</v>
      </c>
      <c r="C26" s="85">
        <f>+Balansräkning!C26</f>
        <v>527.70000000000005</v>
      </c>
      <c r="D26" s="41">
        <v>465.99</v>
      </c>
      <c r="E26" s="41">
        <v>340.1</v>
      </c>
      <c r="F26" s="6">
        <v>251.8</v>
      </c>
    </row>
    <row r="27" spans="1:6" x14ac:dyDescent="0.35">
      <c r="A27" s="18" t="s">
        <v>111</v>
      </c>
      <c r="B27" s="19">
        <f>+Balansräkning!B27</f>
        <v>1798.2</v>
      </c>
      <c r="C27" s="86">
        <f>+Balansräkning!C27</f>
        <v>1731.4</v>
      </c>
      <c r="D27" s="42">
        <v>1369.7270000000001</v>
      </c>
      <c r="E27" s="42">
        <f>SUM(E21:E26)</f>
        <v>1228.8000000000002</v>
      </c>
      <c r="F27" s="19">
        <f>SUM(F21:F26)</f>
        <v>990.18000000000006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27"/>
  <sheetViews>
    <sheetView workbookViewId="0">
      <pane xSplit="1" ySplit="2" topLeftCell="B12" activePane="bottomRight" state="frozen"/>
      <selection pane="topRight" activeCell="B1" sqref="B1"/>
      <selection pane="bottomLeft" activeCell="A3" sqref="A3"/>
      <selection pane="bottomRight" activeCell="B27" sqref="B27"/>
    </sheetView>
  </sheetViews>
  <sheetFormatPr defaultColWidth="9.1796875" defaultRowHeight="14.5" x14ac:dyDescent="0.35"/>
  <cols>
    <col min="1" max="1" width="55.1796875" style="2" bestFit="1" customWidth="1"/>
    <col min="2" max="2" width="11.453125" style="2" customWidth="1"/>
    <col min="3" max="3" width="12.453125" style="2" customWidth="1"/>
    <col min="4" max="4" width="11.54296875" style="2" customWidth="1"/>
    <col min="5" max="17" width="11.54296875" style="45" customWidth="1"/>
    <col min="18" max="18" width="11.54296875" style="2" customWidth="1"/>
    <col min="19" max="16384" width="9.1796875" style="2"/>
  </cols>
  <sheetData>
    <row r="1" spans="1:26" ht="23.5" x14ac:dyDescent="0.55000000000000004">
      <c r="A1" s="33" t="s">
        <v>47</v>
      </c>
      <c r="B1" s="33"/>
      <c r="C1" s="33"/>
      <c r="D1" s="33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33"/>
    </row>
    <row r="2" spans="1:26" ht="29" x14ac:dyDescent="0.35">
      <c r="A2" s="14" t="s">
        <v>0</v>
      </c>
      <c r="B2" s="46" t="s">
        <v>238</v>
      </c>
      <c r="C2" s="46" t="s">
        <v>234</v>
      </c>
      <c r="D2" s="46" t="s">
        <v>230</v>
      </c>
      <c r="E2" s="46" t="s">
        <v>224</v>
      </c>
      <c r="F2" s="46" t="s">
        <v>222</v>
      </c>
      <c r="G2" s="46" t="s">
        <v>208</v>
      </c>
      <c r="H2" s="46" t="s">
        <v>202</v>
      </c>
      <c r="I2" s="46" t="s">
        <v>201</v>
      </c>
      <c r="J2" s="46" t="s">
        <v>194</v>
      </c>
      <c r="K2" s="46" t="s">
        <v>191</v>
      </c>
      <c r="L2" s="46" t="s">
        <v>187</v>
      </c>
      <c r="M2" s="46" t="s">
        <v>182</v>
      </c>
      <c r="N2" s="46" t="s">
        <v>167</v>
      </c>
      <c r="O2" s="46" t="s">
        <v>171</v>
      </c>
      <c r="P2" s="46" t="s">
        <v>173</v>
      </c>
      <c r="Q2" s="46" t="s">
        <v>176</v>
      </c>
      <c r="R2" s="35" t="s">
        <v>168</v>
      </c>
      <c r="S2" s="35" t="s">
        <v>172</v>
      </c>
      <c r="T2" s="35" t="s">
        <v>174</v>
      </c>
      <c r="U2" s="35" t="s">
        <v>177</v>
      </c>
      <c r="V2" s="35" t="s">
        <v>169</v>
      </c>
      <c r="W2" s="35" t="s">
        <v>66</v>
      </c>
      <c r="X2" s="35" t="s">
        <v>175</v>
      </c>
      <c r="Y2" s="35" t="s">
        <v>178</v>
      </c>
      <c r="Z2" s="35" t="s">
        <v>170</v>
      </c>
    </row>
    <row r="3" spans="1:26" x14ac:dyDescent="0.35">
      <c r="A3" s="20" t="s">
        <v>25</v>
      </c>
      <c r="B3" s="20"/>
      <c r="C3" s="20"/>
      <c r="D3" s="20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20"/>
      <c r="S3" s="4"/>
      <c r="T3" s="4"/>
      <c r="U3" s="4"/>
      <c r="V3" s="4"/>
      <c r="W3" s="4"/>
      <c r="X3" s="4"/>
      <c r="Y3" s="4"/>
      <c r="Z3" s="4"/>
    </row>
    <row r="4" spans="1:26" x14ac:dyDescent="0.35">
      <c r="A4" s="10"/>
      <c r="B4" s="10"/>
      <c r="C4" s="10"/>
      <c r="D4" s="10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10"/>
      <c r="S4" s="4"/>
      <c r="T4" s="4"/>
      <c r="U4" s="4"/>
      <c r="V4" s="4"/>
      <c r="W4" s="4"/>
      <c r="X4" s="4"/>
      <c r="Y4" s="4"/>
      <c r="Z4" s="4"/>
    </row>
    <row r="5" spans="1:26" x14ac:dyDescent="0.35">
      <c r="A5" s="20" t="s">
        <v>26</v>
      </c>
      <c r="B5" s="20"/>
      <c r="C5" s="20"/>
      <c r="D5" s="20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20"/>
      <c r="S5" s="4"/>
      <c r="T5" s="4"/>
      <c r="U5" s="4"/>
      <c r="V5" s="4"/>
      <c r="W5" s="4"/>
      <c r="X5" s="4"/>
      <c r="Y5" s="4"/>
      <c r="Z5" s="4"/>
    </row>
    <row r="6" spans="1:26" x14ac:dyDescent="0.35">
      <c r="A6" s="9" t="s">
        <v>27</v>
      </c>
      <c r="B6" s="6">
        <v>554.79999999999995</v>
      </c>
      <c r="C6" s="6">
        <v>554.5</v>
      </c>
      <c r="D6" s="6">
        <f>279.5+260.2</f>
        <v>539.70000000000005</v>
      </c>
      <c r="E6" s="85">
        <f>276.6+262.2</f>
        <v>538.79999999999995</v>
      </c>
      <c r="F6" s="85">
        <f>271.4+261.1</f>
        <v>532.5</v>
      </c>
      <c r="G6" s="85">
        <v>534.90000000000009</v>
      </c>
      <c r="H6" s="41">
        <f>268.2+264.6</f>
        <v>532.79999999999995</v>
      </c>
      <c r="I6" s="41">
        <f>267.4+268.2</f>
        <v>535.59999999999991</v>
      </c>
      <c r="J6" s="41">
        <v>544.17999999999995</v>
      </c>
      <c r="K6" s="41">
        <v>364.00299999999999</v>
      </c>
      <c r="L6" s="41">
        <f>222.8+157.8</f>
        <v>380.6</v>
      </c>
      <c r="M6" s="41">
        <f>222+161.7</f>
        <v>383.7</v>
      </c>
      <c r="N6" s="41">
        <f>229.4+173.6</f>
        <v>403</v>
      </c>
      <c r="O6" s="41">
        <f>221.4+170.3</f>
        <v>391.70000000000005</v>
      </c>
      <c r="P6" s="41">
        <f>225+178.64</f>
        <v>403.64</v>
      </c>
      <c r="Q6" s="41">
        <f>223+181.7-0.04</f>
        <v>404.65999999999997</v>
      </c>
      <c r="R6" s="6">
        <v>204.2</v>
      </c>
      <c r="S6" s="6">
        <v>206.76000000000002</v>
      </c>
      <c r="T6" s="6">
        <f>119.3+89.8</f>
        <v>209.1</v>
      </c>
      <c r="U6" s="6">
        <f>119.6+93.8</f>
        <v>213.39999999999998</v>
      </c>
      <c r="V6" s="6">
        <v>212.4</v>
      </c>
      <c r="W6" s="6">
        <f>118.2+93.3</f>
        <v>211.5</v>
      </c>
      <c r="X6" s="6">
        <f>117.5+92.5</f>
        <v>210</v>
      </c>
      <c r="Y6" s="6">
        <f>117.8+92.7-0.04</f>
        <v>210.46</v>
      </c>
      <c r="Z6" s="6">
        <f>117.4+92.9</f>
        <v>210.3</v>
      </c>
    </row>
    <row r="7" spans="1:26" x14ac:dyDescent="0.35">
      <c r="A7" s="9" t="s">
        <v>28</v>
      </c>
      <c r="B7" s="6">
        <v>174.2</v>
      </c>
      <c r="C7" s="6">
        <f>255.5-88.8</f>
        <v>166.7</v>
      </c>
      <c r="D7" s="6">
        <v>157.6</v>
      </c>
      <c r="E7" s="85">
        <v>150</v>
      </c>
      <c r="F7" s="85">
        <v>143.9</v>
      </c>
      <c r="G7" s="85">
        <v>138.5</v>
      </c>
      <c r="H7" s="41">
        <v>138.30000000000001</v>
      </c>
      <c r="I7" s="41">
        <v>137.9</v>
      </c>
      <c r="J7" s="41">
        <f>188.522-J8</f>
        <v>137.422</v>
      </c>
      <c r="K7" s="41">
        <v>135.30000000000001</v>
      </c>
      <c r="L7" s="41">
        <v>131.1</v>
      </c>
      <c r="M7" s="41">
        <v>128.80000000000001</v>
      </c>
      <c r="N7" s="41">
        <v>130.6</v>
      </c>
      <c r="O7" s="41">
        <v>128.4</v>
      </c>
      <c r="P7" s="41">
        <v>132.84</v>
      </c>
      <c r="Q7" s="41">
        <f>132.7-0.04</f>
        <v>132.66</v>
      </c>
      <c r="R7" s="6">
        <v>122.6</v>
      </c>
      <c r="S7" s="6">
        <v>131.76000000000002</v>
      </c>
      <c r="T7" s="6">
        <v>136.69999999999999</v>
      </c>
      <c r="U7" s="6">
        <v>142.19999999999999</v>
      </c>
      <c r="V7" s="6">
        <v>147.93899999999999</v>
      </c>
      <c r="W7" s="6">
        <v>152.5</v>
      </c>
      <c r="X7" s="6">
        <v>157</v>
      </c>
      <c r="Y7" s="6">
        <f>159.9-0.04</f>
        <v>159.86000000000001</v>
      </c>
      <c r="Z7" s="6">
        <v>159.80000000000001</v>
      </c>
    </row>
    <row r="8" spans="1:26" x14ac:dyDescent="0.35">
      <c r="A8" s="9" t="s">
        <v>67</v>
      </c>
      <c r="B8" s="6">
        <v>92.9</v>
      </c>
      <c r="C8" s="6">
        <v>88.7</v>
      </c>
      <c r="D8" s="6">
        <v>41.7</v>
      </c>
      <c r="E8" s="85">
        <v>47.2</v>
      </c>
      <c r="F8" s="85">
        <v>43</v>
      </c>
      <c r="G8" s="85">
        <v>43.6</v>
      </c>
      <c r="H8" s="41">
        <v>46.9</v>
      </c>
      <c r="I8" s="41">
        <v>47.6</v>
      </c>
      <c r="J8" s="41">
        <v>51.1</v>
      </c>
      <c r="K8" s="41">
        <v>47.823999999999998</v>
      </c>
      <c r="L8" s="41">
        <v>37</v>
      </c>
      <c r="M8" s="41">
        <v>39.799999999999997</v>
      </c>
      <c r="N8" s="41">
        <v>44</v>
      </c>
      <c r="O8" s="41">
        <v>46.9</v>
      </c>
      <c r="P8" s="41">
        <v>59.5</v>
      </c>
      <c r="Q8" s="41">
        <v>63.3</v>
      </c>
      <c r="R8" s="6">
        <v>52.9</v>
      </c>
      <c r="S8" s="62" t="s">
        <v>43</v>
      </c>
      <c r="T8" s="62" t="s">
        <v>43</v>
      </c>
      <c r="U8" s="62" t="s">
        <v>43</v>
      </c>
      <c r="V8" s="62" t="s">
        <v>43</v>
      </c>
      <c r="W8" s="62" t="s">
        <v>43</v>
      </c>
      <c r="X8" s="62" t="s">
        <v>43</v>
      </c>
      <c r="Y8" s="62" t="s">
        <v>43</v>
      </c>
      <c r="Z8" s="62" t="s">
        <v>43</v>
      </c>
    </row>
    <row r="9" spans="1:26" x14ac:dyDescent="0.35">
      <c r="A9" s="9" t="s">
        <v>29</v>
      </c>
      <c r="B9" s="6">
        <v>4.0999999999999996</v>
      </c>
      <c r="C9" s="6">
        <v>4.0999999999999996</v>
      </c>
      <c r="D9" s="6">
        <v>4.2</v>
      </c>
      <c r="E9" s="85">
        <v>4.0999999999999996</v>
      </c>
      <c r="F9" s="85">
        <v>4</v>
      </c>
      <c r="G9" s="85">
        <v>4</v>
      </c>
      <c r="H9" s="41">
        <v>3.7</v>
      </c>
      <c r="I9" s="41">
        <v>3.5019999999999998</v>
      </c>
      <c r="J9" s="41">
        <v>3.5019999999999998</v>
      </c>
      <c r="K9" s="41">
        <v>4.4779999999999998</v>
      </c>
      <c r="L9" s="41">
        <v>5</v>
      </c>
      <c r="M9" s="41">
        <v>4.6399999999999997</v>
      </c>
      <c r="N9" s="41">
        <v>4.8</v>
      </c>
      <c r="O9" s="41">
        <v>3.4</v>
      </c>
      <c r="P9" s="41">
        <v>15.1</v>
      </c>
      <c r="Q9" s="41">
        <v>3.9</v>
      </c>
      <c r="R9" s="6">
        <v>3.8</v>
      </c>
      <c r="S9" s="6">
        <v>3.8</v>
      </c>
      <c r="T9" s="6">
        <v>4.2</v>
      </c>
      <c r="U9" s="6">
        <v>4.1529999999999996</v>
      </c>
      <c r="V9" s="6">
        <v>4.1529999999999996</v>
      </c>
      <c r="W9" s="6">
        <v>4.0999999999999996</v>
      </c>
      <c r="X9" s="6">
        <v>4.4000000000000004</v>
      </c>
      <c r="Y9" s="6">
        <v>4.5</v>
      </c>
      <c r="Z9" s="6">
        <v>4.4000000000000004</v>
      </c>
    </row>
    <row r="10" spans="1:26" x14ac:dyDescent="0.35">
      <c r="A10" s="9" t="s">
        <v>30</v>
      </c>
      <c r="B10" s="6">
        <v>4.3</v>
      </c>
      <c r="C10" s="6">
        <v>7.6</v>
      </c>
      <c r="D10" s="6">
        <v>10.4</v>
      </c>
      <c r="E10" s="85">
        <v>17.100000000000001</v>
      </c>
      <c r="F10" s="85">
        <v>24.1</v>
      </c>
      <c r="G10" s="85">
        <v>25</v>
      </c>
      <c r="H10" s="41">
        <v>22.9</v>
      </c>
      <c r="I10" s="41">
        <v>23</v>
      </c>
      <c r="J10" s="41">
        <v>24.896999999999998</v>
      </c>
      <c r="K10" s="41">
        <v>26.672999999999998</v>
      </c>
      <c r="L10" s="41">
        <v>26.6</v>
      </c>
      <c r="M10" s="41">
        <v>26.84</v>
      </c>
      <c r="N10" s="41">
        <v>28.3</v>
      </c>
      <c r="O10" s="41">
        <v>27.6</v>
      </c>
      <c r="P10" s="41">
        <v>27.3</v>
      </c>
      <c r="Q10" s="41">
        <v>25.9</v>
      </c>
      <c r="R10" s="6">
        <v>22.7</v>
      </c>
      <c r="S10" s="6">
        <v>25.1</v>
      </c>
      <c r="T10" s="6">
        <v>23</v>
      </c>
      <c r="U10" s="6">
        <v>24.3</v>
      </c>
      <c r="V10" s="6">
        <v>24.100999999999999</v>
      </c>
      <c r="W10" s="6">
        <v>23.7</v>
      </c>
      <c r="X10" s="6">
        <v>23.5</v>
      </c>
      <c r="Y10" s="6">
        <v>19.3</v>
      </c>
      <c r="Z10" s="6">
        <v>18.600000000000001</v>
      </c>
    </row>
    <row r="11" spans="1:26" x14ac:dyDescent="0.35">
      <c r="A11" s="18" t="s">
        <v>31</v>
      </c>
      <c r="B11" s="19">
        <f>B6+B7+B9+B10+B8-0.1</f>
        <v>830.19999999999993</v>
      </c>
      <c r="C11" s="19">
        <f>SUM(C6:C10)</f>
        <v>821.60000000000014</v>
      </c>
      <c r="D11" s="19">
        <v>753.5</v>
      </c>
      <c r="E11" s="86">
        <f>SUM(E6:E10)-0.1</f>
        <v>757.1</v>
      </c>
      <c r="F11" s="86">
        <v>747.4</v>
      </c>
      <c r="G11" s="86">
        <v>746</v>
      </c>
      <c r="H11" s="42">
        <f>SUM(H6:H10)</f>
        <v>744.59999999999991</v>
      </c>
      <c r="I11" s="42">
        <f>SUM(I6:I10)</f>
        <v>747.60199999999986</v>
      </c>
      <c r="J11" s="42">
        <f>SUM(J6:J10)</f>
        <v>761.101</v>
      </c>
      <c r="K11" s="42">
        <v>578.27799999999991</v>
      </c>
      <c r="L11" s="42">
        <f t="shared" ref="L11" si="0">SUM(L6:L10)</f>
        <v>580.30000000000007</v>
      </c>
      <c r="M11" s="42">
        <f t="shared" ref="M11:R11" si="1">SUM(M6:M10)</f>
        <v>583.78</v>
      </c>
      <c r="N11" s="42">
        <f t="shared" si="1"/>
        <v>610.69999999999993</v>
      </c>
      <c r="O11" s="42">
        <f t="shared" si="1"/>
        <v>598</v>
      </c>
      <c r="P11" s="42">
        <f t="shared" si="1"/>
        <v>638.38</v>
      </c>
      <c r="Q11" s="42">
        <f t="shared" si="1"/>
        <v>630.41999999999985</v>
      </c>
      <c r="R11" s="19">
        <f t="shared" si="1"/>
        <v>406.19999999999993</v>
      </c>
      <c r="S11" s="19">
        <v>367.42000000000007</v>
      </c>
      <c r="T11" s="19">
        <f t="shared" ref="T11:Z11" si="2">SUM(T6:T10)</f>
        <v>372.99999999999994</v>
      </c>
      <c r="U11" s="19">
        <f t="shared" si="2"/>
        <v>384.053</v>
      </c>
      <c r="V11" s="19">
        <f t="shared" si="2"/>
        <v>388.59300000000002</v>
      </c>
      <c r="W11" s="19">
        <f t="shared" si="2"/>
        <v>391.8</v>
      </c>
      <c r="X11" s="19">
        <f t="shared" si="2"/>
        <v>394.9</v>
      </c>
      <c r="Y11" s="19">
        <f t="shared" si="2"/>
        <v>394.12000000000006</v>
      </c>
      <c r="Z11" s="19">
        <f t="shared" si="2"/>
        <v>393.1</v>
      </c>
    </row>
    <row r="12" spans="1:26" x14ac:dyDescent="0.35">
      <c r="A12" s="9"/>
      <c r="B12" s="9"/>
      <c r="C12" s="107"/>
      <c r="D12" s="6"/>
      <c r="E12" s="88"/>
      <c r="F12" s="88"/>
      <c r="G12" s="88"/>
      <c r="H12" s="43"/>
      <c r="I12" s="43"/>
      <c r="J12" s="43"/>
      <c r="K12" s="43"/>
      <c r="L12" s="41"/>
      <c r="M12" s="41"/>
      <c r="N12" s="41"/>
      <c r="O12" s="41"/>
      <c r="P12" s="41"/>
      <c r="Q12" s="41"/>
      <c r="R12" s="6"/>
      <c r="S12" s="6"/>
      <c r="T12" s="6"/>
      <c r="U12" s="6"/>
      <c r="V12" s="6"/>
      <c r="W12" s="6"/>
      <c r="X12" s="6"/>
      <c r="Y12" s="6"/>
      <c r="Z12" s="6"/>
    </row>
    <row r="13" spans="1:26" x14ac:dyDescent="0.35">
      <c r="A13" s="20" t="s">
        <v>32</v>
      </c>
      <c r="B13" s="20"/>
      <c r="C13" s="97"/>
      <c r="D13" s="17"/>
      <c r="E13" s="85"/>
      <c r="F13" s="85"/>
      <c r="G13" s="85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6"/>
      <c r="S13" s="6"/>
      <c r="T13" s="6"/>
      <c r="U13" s="6"/>
      <c r="V13" s="6"/>
      <c r="W13" s="6"/>
      <c r="X13" s="6"/>
      <c r="Y13" s="6"/>
      <c r="Z13" s="6"/>
    </row>
    <row r="14" spans="1:26" x14ac:dyDescent="0.35">
      <c r="A14" s="9" t="s">
        <v>33</v>
      </c>
      <c r="B14" s="6">
        <v>600</v>
      </c>
      <c r="C14" s="6">
        <v>578.6</v>
      </c>
      <c r="D14" s="6">
        <v>565.9</v>
      </c>
      <c r="E14" s="85">
        <v>545.6</v>
      </c>
      <c r="F14" s="85">
        <v>515</v>
      </c>
      <c r="G14" s="85">
        <v>415.4</v>
      </c>
      <c r="H14" s="41">
        <v>370.06</v>
      </c>
      <c r="I14" s="41">
        <v>350.4</v>
      </c>
      <c r="J14" s="41">
        <v>367.822</v>
      </c>
      <c r="K14" s="41">
        <v>310.74299999999999</v>
      </c>
      <c r="L14" s="41">
        <v>298.3</v>
      </c>
      <c r="M14" s="41">
        <v>300.2</v>
      </c>
      <c r="N14" s="41">
        <v>288</v>
      </c>
      <c r="O14" s="41">
        <v>287.89999999999998</v>
      </c>
      <c r="P14" s="41">
        <v>277.5</v>
      </c>
      <c r="Q14" s="41">
        <v>293.5</v>
      </c>
      <c r="R14" s="6">
        <v>229.34</v>
      </c>
      <c r="S14" s="6">
        <v>212.6</v>
      </c>
      <c r="T14" s="6">
        <v>202.8</v>
      </c>
      <c r="U14" s="6">
        <f>214.4+0.04</f>
        <v>214.44</v>
      </c>
      <c r="V14" s="6">
        <v>233.5</v>
      </c>
      <c r="W14" s="6">
        <v>203.1</v>
      </c>
      <c r="X14" s="6">
        <v>201</v>
      </c>
      <c r="Y14" s="6">
        <v>204.4</v>
      </c>
      <c r="Z14" s="6">
        <v>208.84</v>
      </c>
    </row>
    <row r="15" spans="1:26" x14ac:dyDescent="0.35">
      <c r="A15" s="9" t="s">
        <v>34</v>
      </c>
      <c r="B15" s="6">
        <v>372.9</v>
      </c>
      <c r="C15" s="6">
        <v>328.4</v>
      </c>
      <c r="D15" s="6">
        <v>326</v>
      </c>
      <c r="E15" s="85">
        <v>436</v>
      </c>
      <c r="F15" s="85">
        <v>362.8</v>
      </c>
      <c r="G15" s="85">
        <v>376.1</v>
      </c>
      <c r="H15" s="41">
        <v>320.36</v>
      </c>
      <c r="I15" s="41">
        <v>360.5</v>
      </c>
      <c r="J15" s="41">
        <v>337.56299999999999</v>
      </c>
      <c r="K15" s="41">
        <v>277.23399999999998</v>
      </c>
      <c r="L15" s="41">
        <v>282.8</v>
      </c>
      <c r="M15" s="41">
        <v>288.2</v>
      </c>
      <c r="N15" s="41">
        <v>315.14</v>
      </c>
      <c r="O15" s="41">
        <v>211.74</v>
      </c>
      <c r="P15" s="41">
        <v>250.8</v>
      </c>
      <c r="Q15" s="41">
        <v>277.89999999999998</v>
      </c>
      <c r="R15" s="6">
        <v>244.34</v>
      </c>
      <c r="S15" s="6">
        <v>194.7</v>
      </c>
      <c r="T15" s="6">
        <v>241.8</v>
      </c>
      <c r="U15" s="6">
        <f>246.7+0.04</f>
        <v>246.73999999999998</v>
      </c>
      <c r="V15" s="6">
        <v>243.733</v>
      </c>
      <c r="W15" s="6">
        <f>207.3</f>
        <v>207.3</v>
      </c>
      <c r="X15" s="6">
        <f>244.3</f>
        <v>244.3</v>
      </c>
      <c r="Y15" s="6">
        <f>327.6-96.45</f>
        <v>231.15000000000003</v>
      </c>
      <c r="Z15" s="6">
        <f>244.14-2.379</f>
        <v>241.761</v>
      </c>
    </row>
    <row r="16" spans="1:26" x14ac:dyDescent="0.35">
      <c r="A16" s="9" t="s">
        <v>35</v>
      </c>
      <c r="B16" s="6">
        <v>102.7</v>
      </c>
      <c r="C16" s="6">
        <v>69.599999999999994</v>
      </c>
      <c r="D16" s="6">
        <v>76.8</v>
      </c>
      <c r="E16" s="85">
        <v>41.8</v>
      </c>
      <c r="F16" s="85">
        <v>159.9</v>
      </c>
      <c r="G16" s="85">
        <v>193.9</v>
      </c>
      <c r="H16" s="41">
        <v>159.80000000000001</v>
      </c>
      <c r="I16" s="41">
        <v>68.3</v>
      </c>
      <c r="J16" s="41">
        <v>77.875</v>
      </c>
      <c r="K16" s="41">
        <v>203.47200000000001</v>
      </c>
      <c r="L16" s="41">
        <v>223.1</v>
      </c>
      <c r="M16" s="41">
        <v>150.36000000000001</v>
      </c>
      <c r="N16" s="41">
        <v>148.34</v>
      </c>
      <c r="O16" s="41">
        <v>131.131</v>
      </c>
      <c r="P16" s="41">
        <v>78.7</v>
      </c>
      <c r="Q16" s="41">
        <v>43</v>
      </c>
      <c r="R16" s="6">
        <v>209.6</v>
      </c>
      <c r="S16" s="6">
        <v>215.5</v>
      </c>
      <c r="T16" s="6">
        <v>174.4</v>
      </c>
      <c r="U16" s="6">
        <f>130.7+0.04</f>
        <v>130.73999999999998</v>
      </c>
      <c r="V16" s="6">
        <v>154.97499999999999</v>
      </c>
      <c r="W16" s="6">
        <v>155.97499999999999</v>
      </c>
      <c r="X16" s="6">
        <v>123.211</v>
      </c>
      <c r="Y16" s="6">
        <v>96.45</v>
      </c>
      <c r="Z16" s="6">
        <v>2.379</v>
      </c>
    </row>
    <row r="17" spans="1:26" x14ac:dyDescent="0.35">
      <c r="A17" s="18" t="s">
        <v>36</v>
      </c>
      <c r="B17" s="19">
        <f>SUM(B11:B16)+0.1</f>
        <v>1905.8999999999999</v>
      </c>
      <c r="C17" s="19">
        <f>SUM(C11:C16)</f>
        <v>1798.2000000000003</v>
      </c>
      <c r="D17" s="19">
        <v>1722.2</v>
      </c>
      <c r="E17" s="86">
        <f>SUM(E11:E16)+0.1</f>
        <v>1780.6</v>
      </c>
      <c r="F17" s="86">
        <v>1785.2</v>
      </c>
      <c r="G17" s="86">
        <v>1731.4</v>
      </c>
      <c r="H17" s="42">
        <f>H11+H14+H15+H16</f>
        <v>1594.82</v>
      </c>
      <c r="I17" s="42">
        <f>I11+I14+I15+I16</f>
        <v>1526.8019999999999</v>
      </c>
      <c r="J17" s="42">
        <f>J11+J14+J15+J16</f>
        <v>1544.3609999999999</v>
      </c>
      <c r="K17" s="42">
        <v>1369.7269999999999</v>
      </c>
      <c r="L17" s="42">
        <f t="shared" ref="L17" si="3">SUM(L11:L16)</f>
        <v>1384.5</v>
      </c>
      <c r="M17" s="42">
        <f t="shared" ref="M17:R17" si="4">SUM(M11:M16)</f>
        <v>1322.54</v>
      </c>
      <c r="N17" s="42">
        <f t="shared" si="4"/>
        <v>1362.1799999999998</v>
      </c>
      <c r="O17" s="42">
        <f t="shared" si="4"/>
        <v>1228.771</v>
      </c>
      <c r="P17" s="42">
        <f t="shared" si="4"/>
        <v>1245.3800000000001</v>
      </c>
      <c r="Q17" s="42">
        <f t="shared" si="4"/>
        <v>1244.8199999999997</v>
      </c>
      <c r="R17" s="19">
        <f t="shared" si="4"/>
        <v>1089.48</v>
      </c>
      <c r="S17" s="19">
        <v>990.22000000000014</v>
      </c>
      <c r="T17" s="19">
        <f>SUM(T11:T16)</f>
        <v>991.99999999999989</v>
      </c>
      <c r="U17" s="19">
        <f t="shared" ref="U17:Z17" si="5">SUM(U11:U16)</f>
        <v>975.97299999999996</v>
      </c>
      <c r="V17" s="19">
        <f t="shared" si="5"/>
        <v>1020.801</v>
      </c>
      <c r="W17" s="19">
        <f t="shared" si="5"/>
        <v>958.17500000000007</v>
      </c>
      <c r="X17" s="19">
        <f t="shared" si="5"/>
        <v>963.41100000000006</v>
      </c>
      <c r="Y17" s="19">
        <f t="shared" si="5"/>
        <v>926.12000000000012</v>
      </c>
      <c r="Z17" s="19">
        <f t="shared" si="5"/>
        <v>846.08</v>
      </c>
    </row>
    <row r="18" spans="1:26" x14ac:dyDescent="0.35">
      <c r="A18" s="9"/>
      <c r="B18" s="9"/>
      <c r="C18" s="107"/>
      <c r="D18" s="6"/>
      <c r="E18" s="85"/>
      <c r="F18" s="85"/>
      <c r="G18" s="85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6"/>
      <c r="S18" s="6"/>
      <c r="T18" s="6"/>
      <c r="U18" s="6"/>
      <c r="V18" s="6"/>
      <c r="W18" s="6"/>
      <c r="X18" s="6"/>
      <c r="Y18" s="6"/>
      <c r="Z18" s="6"/>
    </row>
    <row r="19" spans="1:26" x14ac:dyDescent="0.35">
      <c r="A19" s="20" t="s">
        <v>37</v>
      </c>
      <c r="B19" s="20"/>
      <c r="C19" s="97"/>
      <c r="D19" s="17"/>
      <c r="E19" s="85"/>
      <c r="F19" s="85"/>
      <c r="G19" s="85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6"/>
      <c r="S19" s="6"/>
      <c r="T19" s="6"/>
      <c r="U19" s="6"/>
      <c r="V19" s="6"/>
      <c r="W19" s="6"/>
      <c r="X19" s="6"/>
      <c r="Y19" s="6"/>
      <c r="Z19" s="6"/>
    </row>
    <row r="20" spans="1:26" x14ac:dyDescent="0.35">
      <c r="A20" s="9" t="s">
        <v>38</v>
      </c>
      <c r="B20" s="70">
        <v>1066.3</v>
      </c>
      <c r="C20" s="70">
        <v>999.8</v>
      </c>
      <c r="D20" s="70">
        <v>939</v>
      </c>
      <c r="E20" s="87">
        <v>876.3</v>
      </c>
      <c r="F20" s="85">
        <v>878.5</v>
      </c>
      <c r="G20" s="85">
        <v>806.9</v>
      </c>
      <c r="H20" s="41">
        <v>749</v>
      </c>
      <c r="I20" s="41">
        <v>699</v>
      </c>
      <c r="J20" s="41">
        <v>690.38599999999997</v>
      </c>
      <c r="K20" s="41">
        <v>581.89300000000003</v>
      </c>
      <c r="L20" s="41">
        <v>596.20000000000005</v>
      </c>
      <c r="M20" s="41">
        <v>606.70000000000005</v>
      </c>
      <c r="N20" s="41">
        <v>627.1</v>
      </c>
      <c r="O20" s="41">
        <v>563.1</v>
      </c>
      <c r="P20" s="41">
        <v>563.9</v>
      </c>
      <c r="Q20" s="41">
        <v>544.9</v>
      </c>
      <c r="R20" s="6">
        <v>539.5</v>
      </c>
      <c r="S20" s="6">
        <v>504.94</v>
      </c>
      <c r="T20" s="6">
        <v>493.8</v>
      </c>
      <c r="U20" s="6">
        <v>475.9</v>
      </c>
      <c r="V20" s="6">
        <v>501.38299999999998</v>
      </c>
      <c r="W20" s="6">
        <v>483.2</v>
      </c>
      <c r="X20" s="6">
        <v>472.5</v>
      </c>
      <c r="Y20" s="6">
        <v>458.3</v>
      </c>
      <c r="Z20" s="6">
        <v>347.8</v>
      </c>
    </row>
    <row r="21" spans="1:26" x14ac:dyDescent="0.35">
      <c r="A21" s="18" t="s">
        <v>39</v>
      </c>
      <c r="B21" s="96">
        <f>B20</f>
        <v>1066.3</v>
      </c>
      <c r="C21" s="96">
        <f>C20</f>
        <v>999.8</v>
      </c>
      <c r="D21" s="96">
        <v>939</v>
      </c>
      <c r="E21" s="88">
        <v>876.3</v>
      </c>
      <c r="F21" s="86">
        <v>878.5</v>
      </c>
      <c r="G21" s="86">
        <v>806.9</v>
      </c>
      <c r="H21" s="42">
        <f>SUM(H20)</f>
        <v>749</v>
      </c>
      <c r="I21" s="42">
        <f>SUM(I20)</f>
        <v>699</v>
      </c>
      <c r="J21" s="42">
        <f>SUM(J20)</f>
        <v>690.38599999999997</v>
      </c>
      <c r="K21" s="42">
        <v>581.89300000000003</v>
      </c>
      <c r="L21" s="42">
        <f t="shared" ref="L21" si="6">SUM(L20)</f>
        <v>596.20000000000005</v>
      </c>
      <c r="M21" s="42">
        <f t="shared" ref="M21:R21" si="7">SUM(M20)</f>
        <v>606.70000000000005</v>
      </c>
      <c r="N21" s="42">
        <f t="shared" si="7"/>
        <v>627.1</v>
      </c>
      <c r="O21" s="42">
        <f t="shared" si="7"/>
        <v>563.1</v>
      </c>
      <c r="P21" s="42">
        <f t="shared" si="7"/>
        <v>563.9</v>
      </c>
      <c r="Q21" s="42">
        <f t="shared" si="7"/>
        <v>544.9</v>
      </c>
      <c r="R21" s="19">
        <f t="shared" si="7"/>
        <v>539.5</v>
      </c>
      <c r="S21" s="19">
        <v>504.94</v>
      </c>
      <c r="T21" s="19">
        <f>SUM(T20)</f>
        <v>493.8</v>
      </c>
      <c r="U21" s="19">
        <f>SUM(U20)</f>
        <v>475.9</v>
      </c>
      <c r="V21" s="19">
        <f t="shared" ref="V21:Z21" si="8">SUM(V20)</f>
        <v>501.38299999999998</v>
      </c>
      <c r="W21" s="19">
        <f t="shared" si="8"/>
        <v>483.2</v>
      </c>
      <c r="X21" s="19">
        <f t="shared" si="8"/>
        <v>472.5</v>
      </c>
      <c r="Y21" s="19">
        <f t="shared" si="8"/>
        <v>458.3</v>
      </c>
      <c r="Z21" s="19">
        <f t="shared" si="8"/>
        <v>347.8</v>
      </c>
    </row>
    <row r="22" spans="1:26" x14ac:dyDescent="0.35">
      <c r="A22" s="9"/>
      <c r="B22" s="9"/>
      <c r="C22" s="107"/>
      <c r="D22" s="6"/>
      <c r="E22" s="85"/>
      <c r="F22" s="85"/>
      <c r="G22" s="85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6"/>
      <c r="S22" s="6"/>
      <c r="T22" s="6"/>
      <c r="U22" s="6"/>
      <c r="V22" s="6"/>
      <c r="W22" s="6"/>
      <c r="X22" s="6"/>
      <c r="Y22" s="6"/>
      <c r="Z22" s="6"/>
    </row>
    <row r="23" spans="1:26" x14ac:dyDescent="0.35">
      <c r="A23" s="20" t="s">
        <v>40</v>
      </c>
      <c r="B23" s="20"/>
      <c r="C23" s="97"/>
      <c r="D23" s="17"/>
      <c r="E23" s="85"/>
      <c r="F23" s="85"/>
      <c r="G23" s="85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6"/>
      <c r="S23" s="6"/>
      <c r="T23" s="6"/>
      <c r="U23" s="6"/>
      <c r="V23" s="6"/>
      <c r="W23" s="6"/>
      <c r="X23" s="6"/>
      <c r="Y23" s="6"/>
      <c r="Z23" s="6"/>
    </row>
    <row r="24" spans="1:26" x14ac:dyDescent="0.35">
      <c r="A24" s="9" t="s">
        <v>41</v>
      </c>
      <c r="B24" s="6">
        <v>347.4</v>
      </c>
      <c r="C24" s="6">
        <v>341.1</v>
      </c>
      <c r="D24" s="6">
        <v>319.8</v>
      </c>
      <c r="E24" s="85">
        <v>348.6</v>
      </c>
      <c r="F24" s="85">
        <v>397.3</v>
      </c>
      <c r="G24" s="85">
        <v>396.8</v>
      </c>
      <c r="H24" s="41">
        <v>383.2</v>
      </c>
      <c r="I24" s="41">
        <v>385.8</v>
      </c>
      <c r="J24" s="41">
        <v>395.79399999999998</v>
      </c>
      <c r="K24" s="41">
        <v>321.84399999999999</v>
      </c>
      <c r="L24" s="41">
        <v>305.86</v>
      </c>
      <c r="M24" s="41">
        <v>335.66</v>
      </c>
      <c r="N24" s="41">
        <v>327.14</v>
      </c>
      <c r="O24" s="41">
        <v>325.60000000000002</v>
      </c>
      <c r="P24" s="41">
        <v>350.6</v>
      </c>
      <c r="Q24" s="41">
        <v>339</v>
      </c>
      <c r="R24" s="6">
        <v>269.60000000000002</v>
      </c>
      <c r="S24" s="6">
        <v>233.44</v>
      </c>
      <c r="T24" s="6">
        <v>230.9</v>
      </c>
      <c r="U24" s="6">
        <v>233.9</v>
      </c>
      <c r="V24" s="6">
        <v>231.15700000000001</v>
      </c>
      <c r="W24" s="6">
        <v>231.9</v>
      </c>
      <c r="X24" s="6">
        <v>227.3</v>
      </c>
      <c r="Y24" s="6">
        <v>224</v>
      </c>
      <c r="Z24" s="6">
        <v>223.4</v>
      </c>
    </row>
    <row r="25" spans="1:26" x14ac:dyDescent="0.35">
      <c r="A25" s="9" t="s">
        <v>42</v>
      </c>
      <c r="B25" s="6" t="s">
        <v>43</v>
      </c>
      <c r="C25" s="6" t="s">
        <v>43</v>
      </c>
      <c r="D25" s="6" t="s">
        <v>43</v>
      </c>
      <c r="E25" s="85" t="s">
        <v>43</v>
      </c>
      <c r="F25" s="85" t="s">
        <v>43</v>
      </c>
      <c r="G25" s="85" t="s">
        <v>43</v>
      </c>
      <c r="H25" s="41" t="s">
        <v>43</v>
      </c>
      <c r="I25" s="41" t="s">
        <v>43</v>
      </c>
      <c r="J25" s="41" t="s">
        <v>43</v>
      </c>
      <c r="K25" s="41" t="s">
        <v>43</v>
      </c>
      <c r="L25" s="41" t="s">
        <v>43</v>
      </c>
      <c r="M25" s="41" t="s">
        <v>43</v>
      </c>
      <c r="N25" s="41" t="s">
        <v>43</v>
      </c>
      <c r="O25" s="41" t="s">
        <v>43</v>
      </c>
      <c r="P25" s="41" t="s">
        <v>43</v>
      </c>
      <c r="Q25" s="41" t="s">
        <v>43</v>
      </c>
      <c r="R25" s="6" t="s">
        <v>43</v>
      </c>
      <c r="S25" s="6" t="s">
        <v>43</v>
      </c>
      <c r="T25" s="6" t="s">
        <v>43</v>
      </c>
      <c r="U25" s="6" t="s">
        <v>43</v>
      </c>
      <c r="V25" s="6" t="s">
        <v>43</v>
      </c>
      <c r="W25" s="6" t="s">
        <v>43</v>
      </c>
      <c r="X25" s="6" t="s">
        <v>43</v>
      </c>
      <c r="Y25" s="6" t="s">
        <v>43</v>
      </c>
      <c r="Z25" s="6">
        <v>20.463000000000001</v>
      </c>
    </row>
    <row r="26" spans="1:26" x14ac:dyDescent="0.35">
      <c r="A26" s="9" t="s">
        <v>44</v>
      </c>
      <c r="B26" s="6">
        <v>492.1</v>
      </c>
      <c r="C26" s="6">
        <v>457.3</v>
      </c>
      <c r="D26" s="6">
        <v>463.4</v>
      </c>
      <c r="E26" s="85">
        <v>555.70000000000005</v>
      </c>
      <c r="F26" s="85">
        <v>509.4</v>
      </c>
      <c r="G26" s="85">
        <v>527.70000000000005</v>
      </c>
      <c r="H26" s="41">
        <v>462.6</v>
      </c>
      <c r="I26" s="41">
        <v>442</v>
      </c>
      <c r="J26" s="41">
        <v>458.18099999999998</v>
      </c>
      <c r="K26" s="41">
        <v>465.99</v>
      </c>
      <c r="L26" s="41">
        <v>482.46</v>
      </c>
      <c r="M26" s="41">
        <v>380.16</v>
      </c>
      <c r="N26" s="41">
        <v>407.94</v>
      </c>
      <c r="O26" s="41">
        <v>340.1</v>
      </c>
      <c r="P26" s="41">
        <v>330.9</v>
      </c>
      <c r="Q26" s="41">
        <v>360.9</v>
      </c>
      <c r="R26" s="6">
        <v>280.39999999999998</v>
      </c>
      <c r="S26" s="6">
        <v>251.8</v>
      </c>
      <c r="T26" s="6">
        <v>267.3</v>
      </c>
      <c r="U26" s="6">
        <v>266.2</v>
      </c>
      <c r="V26" s="6">
        <v>288.30799999999999</v>
      </c>
      <c r="W26" s="6">
        <v>243.1</v>
      </c>
      <c r="X26" s="6">
        <v>263.60000000000002</v>
      </c>
      <c r="Y26" s="6">
        <f>243.9-0.1</f>
        <v>243.8</v>
      </c>
      <c r="Z26" s="6">
        <f>274.9-20.463</f>
        <v>254.43699999999998</v>
      </c>
    </row>
    <row r="27" spans="1:26" x14ac:dyDescent="0.35">
      <c r="A27" s="18" t="s">
        <v>45</v>
      </c>
      <c r="B27" s="19">
        <f>B21+B24+B26+0.1</f>
        <v>1905.8999999999996</v>
      </c>
      <c r="C27" s="19">
        <f>SUM(C21:C26)</f>
        <v>1798.2</v>
      </c>
      <c r="D27" s="19">
        <v>1722.2</v>
      </c>
      <c r="E27" s="86">
        <f>SUM(E21:E26)</f>
        <v>1780.6000000000001</v>
      </c>
      <c r="F27" s="86">
        <v>1785.2</v>
      </c>
      <c r="G27" s="86">
        <v>1731.4</v>
      </c>
      <c r="H27" s="42">
        <f>H21+H24+H26</f>
        <v>1594.8000000000002</v>
      </c>
      <c r="I27" s="42">
        <f>I21+I24+I26</f>
        <v>1526.8</v>
      </c>
      <c r="J27" s="42">
        <f>J21+J24+J26</f>
        <v>1544.3609999999999</v>
      </c>
      <c r="K27" s="42">
        <v>1369.7270000000001</v>
      </c>
      <c r="L27" s="42">
        <f t="shared" ref="L27" si="9">SUM(L21:L26)</f>
        <v>1384.52</v>
      </c>
      <c r="M27" s="42">
        <f t="shared" ref="M27:R27" si="10">SUM(M21:M26)</f>
        <v>1322.5200000000002</v>
      </c>
      <c r="N27" s="42">
        <f t="shared" si="10"/>
        <v>1362.18</v>
      </c>
      <c r="O27" s="42">
        <f t="shared" si="10"/>
        <v>1228.8000000000002</v>
      </c>
      <c r="P27" s="42">
        <f t="shared" si="10"/>
        <v>1245.4000000000001</v>
      </c>
      <c r="Q27" s="42">
        <f t="shared" si="10"/>
        <v>1244.8</v>
      </c>
      <c r="R27" s="19">
        <f t="shared" si="10"/>
        <v>1089.5</v>
      </c>
      <c r="S27" s="19">
        <v>990.18000000000006</v>
      </c>
      <c r="T27" s="19">
        <f>SUM(T21:T26)</f>
        <v>992</v>
      </c>
      <c r="U27" s="19">
        <f>SUM(U21:U26)</f>
        <v>976</v>
      </c>
      <c r="V27" s="19">
        <f t="shared" ref="V27:Z27" si="11">SUM(V21:V26)</f>
        <v>1020.848</v>
      </c>
      <c r="W27" s="19">
        <f t="shared" si="11"/>
        <v>958.2</v>
      </c>
      <c r="X27" s="19">
        <f t="shared" si="11"/>
        <v>963.4</v>
      </c>
      <c r="Y27" s="19">
        <f t="shared" si="11"/>
        <v>926.09999999999991</v>
      </c>
      <c r="Z27" s="19">
        <f t="shared" si="11"/>
        <v>846.1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18</vt:i4>
      </vt:variant>
    </vt:vector>
  </HeadingPairs>
  <TitlesOfParts>
    <vt:vector size="18" baseType="lpstr">
      <vt:lpstr>Resultat</vt:lpstr>
      <vt:lpstr>Income Statement</vt:lpstr>
      <vt:lpstr>Resultat-3M</vt:lpstr>
      <vt:lpstr>Income Statement-3M</vt:lpstr>
      <vt:lpstr>Resultat-YTD</vt:lpstr>
      <vt:lpstr>Income Statement-YTD</vt:lpstr>
      <vt:lpstr>Balansräkning</vt:lpstr>
      <vt:lpstr>Balance Sheet</vt:lpstr>
      <vt:lpstr>Balansräkning-3M</vt:lpstr>
      <vt:lpstr>Balance Sheet-3M</vt:lpstr>
      <vt:lpstr>Eget kapital</vt:lpstr>
      <vt:lpstr>Change Equity</vt:lpstr>
      <vt:lpstr>Eget kapital-3M</vt:lpstr>
      <vt:lpstr>Change Equity-3M</vt:lpstr>
      <vt:lpstr>Kassaflöde</vt:lpstr>
      <vt:lpstr>Cash Flow</vt:lpstr>
      <vt:lpstr>Kassaflöde-3M</vt:lpstr>
      <vt:lpstr>Cash Flow-3M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Eklund</dc:creator>
  <cp:lastModifiedBy>Holmgren, Anna</cp:lastModifiedBy>
  <dcterms:created xsi:type="dcterms:W3CDTF">2019-04-04T12:30:48Z</dcterms:created>
  <dcterms:modified xsi:type="dcterms:W3CDTF">2023-04-27T09:48:17Z</dcterms:modified>
</cp:coreProperties>
</file>